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Aggregated - Bill of material" sheetId="2" r:id="rId5"/>
    <sheet state="visible" name="Raw - Bill of material" sheetId="3" r:id="rId6"/>
    <sheet state="visible" name="Support tables" sheetId="4" r:id="rId7"/>
  </sheets>
  <definedNames/>
  <calcPr/>
</workbook>
</file>

<file path=xl/sharedStrings.xml><?xml version="1.0" encoding="utf-8"?>
<sst xmlns="http://schemas.openxmlformats.org/spreadsheetml/2006/main" count="1775" uniqueCount="563">
  <si>
    <t>Sheet</t>
  </si>
  <si>
    <t>Explanation</t>
  </si>
  <si>
    <t>Aggregated - Bill of material</t>
  </si>
  <si>
    <t>Fetch the corresponding tables in "Raw - Bill of material", 
group each item and count the amount. This table shows 
the total amount needed of each part. To read detailed 
comments about how each part is used, find the 
corresponding items in "Raw - Bill of material".</t>
  </si>
  <si>
    <t>Raw - Bill of material</t>
  </si>
  <si>
    <t>List of all parts used in it's "raw form". The tables are 
divided into multiple categories. The same item can occur
multiple times if the item is used in multiple places. The
reason is to enable unique comments about how the 
items are used.</t>
  </si>
  <si>
    <t>Support tables</t>
  </si>
  <si>
    <t>Pre-defined categories used in drop-downs.</t>
  </si>
  <si>
    <t>Screws</t>
  </si>
  <si>
    <t>Item No.</t>
  </si>
  <si>
    <t>S01</t>
  </si>
  <si>
    <t>S02</t>
  </si>
  <si>
    <t>S03</t>
  </si>
  <si>
    <t>S04</t>
  </si>
  <si>
    <t>S05</t>
  </si>
  <si>
    <t>S06</t>
  </si>
  <si>
    <t>S07</t>
  </si>
  <si>
    <t>S08</t>
  </si>
  <si>
    <t>S09</t>
  </si>
  <si>
    <t>S10</t>
  </si>
  <si>
    <t>S11</t>
  </si>
  <si>
    <t>S12</t>
  </si>
  <si>
    <t>S13</t>
  </si>
  <si>
    <t>S14</t>
  </si>
  <si>
    <t>S15</t>
  </si>
  <si>
    <t>S16</t>
  </si>
  <si>
    <t>Nuts</t>
  </si>
  <si>
    <t>N01</t>
  </si>
  <si>
    <t>N02</t>
  </si>
  <si>
    <t>N03</t>
  </si>
  <si>
    <t>Washers</t>
  </si>
  <si>
    <t>W01</t>
  </si>
  <si>
    <t>W02</t>
  </si>
  <si>
    <t>W03</t>
  </si>
  <si>
    <t>W04</t>
  </si>
  <si>
    <t>W05</t>
  </si>
  <si>
    <t>W06</t>
  </si>
  <si>
    <t>W07</t>
  </si>
  <si>
    <t>Electronics</t>
  </si>
  <si>
    <t>E01</t>
  </si>
  <si>
    <t>E02</t>
  </si>
  <si>
    <t>E03</t>
  </si>
  <si>
    <t>E04</t>
  </si>
  <si>
    <t>E05</t>
  </si>
  <si>
    <t>E06</t>
  </si>
  <si>
    <t>E07</t>
  </si>
  <si>
    <t>E08</t>
  </si>
  <si>
    <t>E09</t>
  </si>
  <si>
    <t>E10</t>
  </si>
  <si>
    <t>E11</t>
  </si>
  <si>
    <t>E12</t>
  </si>
  <si>
    <t>E13</t>
  </si>
  <si>
    <t>E14</t>
  </si>
  <si>
    <t>E15</t>
  </si>
  <si>
    <t>E16</t>
  </si>
  <si>
    <t>E17</t>
  </si>
  <si>
    <t>E18</t>
  </si>
  <si>
    <t>E19</t>
  </si>
  <si>
    <t>E20</t>
  </si>
  <si>
    <t>E21</t>
  </si>
  <si>
    <t>E22</t>
  </si>
  <si>
    <t>E23</t>
  </si>
  <si>
    <t>E24</t>
  </si>
  <si>
    <t>E25</t>
  </si>
  <si>
    <t>E26</t>
  </si>
  <si>
    <t>E27</t>
  </si>
  <si>
    <t>E28</t>
  </si>
  <si>
    <t>E29</t>
  </si>
  <si>
    <t>E30</t>
  </si>
  <si>
    <t>C13 cable</t>
  </si>
  <si>
    <t>3d-printed parts</t>
  </si>
  <si>
    <t>P01</t>
  </si>
  <si>
    <t>P02</t>
  </si>
  <si>
    <t>P03</t>
  </si>
  <si>
    <t>P04</t>
  </si>
  <si>
    <t>P05</t>
  </si>
  <si>
    <t>P06</t>
  </si>
  <si>
    <t>P07</t>
  </si>
  <si>
    <t>P08</t>
  </si>
  <si>
    <t>P09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</si>
  <si>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</si>
  <si>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</si>
  <si>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</si>
  <si>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</si>
  <si>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</si>
  <si>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</si>
  <si>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</si>
  <si>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</si>
  <si>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</si>
  <si>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</si>
  <si>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</si>
  <si>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</si>
  <si>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</si>
  <si>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</si>
  <si>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</si>
  <si>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</si>
  <si>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</si>
  <si>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</si>
  <si>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</si>
  <si>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</si>
  <si>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</si>
  <si>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</si>
  <si>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</si>
  <si>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</si>
  <si>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</si>
  <si>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</si>
  <si>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</si>
  <si>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</si>
  <si>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</si>
  <si>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</si>
  <si>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</si>
  <si>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Other</t>
  </si>
  <si>
    <t>O01</t>
  </si>
  <si>
    <t>O02</t>
  </si>
  <si>
    <t>O03</t>
  </si>
  <si>
    <t>O04</t>
  </si>
  <si>
    <t>O05</t>
  </si>
  <si>
    <t>O06</t>
  </si>
  <si>
    <t>O07</t>
  </si>
  <si>
    <t>O08</t>
  </si>
  <si>
    <t>O09</t>
  </si>
  <si>
    <t>O10</t>
  </si>
  <si>
    <t>O11</t>
  </si>
  <si>
    <t>O12</t>
  </si>
  <si>
    <t>O13</t>
  </si>
  <si>
    <t>O14</t>
  </si>
  <si>
    <t>O15</t>
  </si>
  <si>
    <t>O16</t>
  </si>
  <si>
    <t>O17</t>
  </si>
  <si>
    <t>O18</t>
  </si>
  <si>
    <t>O19</t>
  </si>
  <si>
    <t>O20</t>
  </si>
  <si>
    <t>O21</t>
  </si>
  <si>
    <t>O22</t>
  </si>
  <si>
    <t>O23</t>
  </si>
  <si>
    <t>O24</t>
  </si>
  <si>
    <t>O25</t>
  </si>
  <si>
    <t>Cable grommet</t>
  </si>
  <si>
    <t>O26</t>
  </si>
  <si>
    <t>Plywood (approx. 12x1500x1500mm)</t>
  </si>
  <si>
    <t>Threaded rods</t>
  </si>
  <si>
    <t>T01</t>
  </si>
  <si>
    <t>T02</t>
  </si>
  <si>
    <t>T03</t>
  </si>
  <si>
    <t>Raw item list</t>
  </si>
  <si>
    <t>Category</t>
  </si>
  <si>
    <t>Used in</t>
  </si>
  <si>
    <t>Type</t>
  </si>
  <si>
    <t>Size</t>
  </si>
  <si>
    <t>Length</t>
  </si>
  <si>
    <t>Amount</t>
  </si>
  <si>
    <t>Used for</t>
  </si>
  <si>
    <t>Comment</t>
  </si>
  <si>
    <t>Image?</t>
  </si>
  <si>
    <t>Consumables</t>
  </si>
  <si>
    <t>Large electronic box</t>
  </si>
  <si>
    <t>M4</t>
  </si>
  <si>
    <t>40mm</t>
  </si>
  <si>
    <t>Used in the front of the large electronic box</t>
  </si>
  <si>
    <t>X</t>
  </si>
  <si>
    <t>18mm</t>
  </si>
  <si>
    <t>Used to lock the emergency stop switch to the large electronic box</t>
  </si>
  <si>
    <t>M3</t>
  </si>
  <si>
    <t>5mm</t>
  </si>
  <si>
    <t>Used to lock power supply to back panel of the large electronic box</t>
  </si>
  <si>
    <t>The spare 4x 5mm M3 screws locking the gear box to the stepper motors was used.</t>
  </si>
  <si>
    <t>25mm</t>
  </si>
  <si>
    <t>Used in the back of the large electronic box</t>
  </si>
  <si>
    <t>12mm</t>
  </si>
  <si>
    <t>Used to lock fan to front plate of large electronic box</t>
  </si>
  <si>
    <t>Small electronic box</t>
  </si>
  <si>
    <t>Used in the front of the small electronic box</t>
  </si>
  <si>
    <t>Used in the back of the small electronic box</t>
  </si>
  <si>
    <t>Used to lock fan to front plate of small electronic box</t>
  </si>
  <si>
    <t>Used to lock Arduino to back panel of the small electronic box</t>
  </si>
  <si>
    <t>Frame</t>
  </si>
  <si>
    <t>3.5mm</t>
  </si>
  <si>
    <t>20mm</t>
  </si>
  <si>
    <t>Used to interlock wasteboard and frame, using the wasteboard brackets</t>
  </si>
  <si>
    <t>Used to interlock the cable chain mount with the cable chain</t>
  </si>
  <si>
    <t>M5</t>
  </si>
  <si>
    <t>Used to lock cable chain mount with frame</t>
  </si>
  <si>
    <t>Used to lock left Y-axis belt tension slider to frame</t>
  </si>
  <si>
    <t>M8</t>
  </si>
  <si>
    <t>60mm</t>
  </si>
  <si>
    <t>Used to tension the left Y-axis belt</t>
  </si>
  <si>
    <t>Buy a fully threaded screw</t>
  </si>
  <si>
    <t>Used to lock Y-axis end-stop (-) mount to frame</t>
  </si>
  <si>
    <t xml:space="preserve"> </t>
  </si>
  <si>
    <t>Used to lock Y-axis end-stop (-) microswitch to end-stop mount</t>
  </si>
  <si>
    <t>16mm</t>
  </si>
  <si>
    <t>Used to lock left Y-axis MGN12H linear rail to frame</t>
  </si>
  <si>
    <t>Used to lock left side plate to left Y-axis MGN12H linear rail blocks</t>
  </si>
  <si>
    <t>Used to lock cable chain support to frame</t>
  </si>
  <si>
    <t>Used to lock left Y-axis fixed belt tensioner to frame</t>
  </si>
  <si>
    <t>Used to lock left Y-axis end-stop (+) mount to frame</t>
  </si>
  <si>
    <t>Used to lock Y-axis end-stop (+) microswitch to end-stop mount</t>
  </si>
  <si>
    <t>Used to tension the right Y-axis belt</t>
  </si>
  <si>
    <t>Used to lock right Y-axis end-stop mount to frame (only used to block linear rail)</t>
  </si>
  <si>
    <t>Used to lock right Y-axis MGN12H linear rail to frame</t>
  </si>
  <si>
    <t>Used to lock right side plate to right Y-axis MGN12H linear rail blocks</t>
  </si>
  <si>
    <t>Bridge</t>
  </si>
  <si>
    <t>Used to lock right geared stepper motor to right side plate</t>
  </si>
  <si>
    <t>Used in right Y-axis belt idler</t>
  </si>
  <si>
    <t>Buy fully threaded screws</t>
  </si>
  <si>
    <t>Used in left Y-axis belt idler</t>
  </si>
  <si>
    <t>Used to lock left geared stepper motor to left side plate</t>
  </si>
  <si>
    <t>Used to interlock the left side plate with the cable chain</t>
  </si>
  <si>
    <t>Used to lock left side plate, left side plate upper front clip and upper front bridge aluminium profile.</t>
  </si>
  <si>
    <t>It doesn't hurt to buy a longer screw, e.g. 65 or 70mm</t>
  </si>
  <si>
    <t>Used to lock right side plate, right side plate upper front clip and upper front bridge aluminium profile.</t>
  </si>
  <si>
    <t>Used to tension the X-axis belt</t>
  </si>
  <si>
    <t>Used to lock X-axis end-stop (-) mount to lower front aluminium bridge profile</t>
  </si>
  <si>
    <t>Used to lock X-axis end-stop (-) microswitch to end-stop mount</t>
  </si>
  <si>
    <t>Used to lock lower X-axis MGN12H linear rail to lower bridge bream aluminium profile</t>
  </si>
  <si>
    <t>Used to lock upper X-axis MGN12H linear rail to upper bridge bream aluminium profile</t>
  </si>
  <si>
    <t>Used to lock X-axis end-stop (+) mount to upper front aluminium bridge profile</t>
  </si>
  <si>
    <t>Used to lock X-axis end-stop (+) microswitch to end-stop mount</t>
  </si>
  <si>
    <t>Used to interlock the X-axis cable chain with the lower back bridge beam aluminium profile</t>
  </si>
  <si>
    <t>Used to interlock the X-axis cable chain with the cable chain mount on carriage</t>
  </si>
  <si>
    <t>Used to lock X-axis cable chain mount to Z-axis stepper motor mount</t>
  </si>
  <si>
    <t>8mm</t>
  </si>
  <si>
    <t>Used to lock Z-axis stepper motor to Z-axis stepper motor mount</t>
  </si>
  <si>
    <t>80mm</t>
  </si>
  <si>
    <t>Used to lock Z-axis stepper motor mount to carriage</t>
  </si>
  <si>
    <t>Used to lock KFL08 rod bearing to top of carriage</t>
  </si>
  <si>
    <t>Used to lock KFL08 rod bearing to bottom of carriage</t>
  </si>
  <si>
    <t>Used to lock carriage to lower X-axis MGN12H linear rail blocks</t>
  </si>
  <si>
    <t>Used to lock carriage to upper X-axis MGN12H linear rail blocks</t>
  </si>
  <si>
    <t>Used to lock X-axis geared stepper motor to carriage</t>
  </si>
  <si>
    <t>Used in X-axis belt idler</t>
  </si>
  <si>
    <t>Used to lock Z-axis end-stop (+) microswitch to carriage</t>
  </si>
  <si>
    <t>Lock acme nut to vertical carriage slider</t>
  </si>
  <si>
    <t>Used to lock Z-axis end-stop (+) trigger to vertical carriage slider</t>
  </si>
  <si>
    <t>Used to lock MGN12H linear rail blocks to right side of carriage (Z-axis)</t>
  </si>
  <si>
    <t>Used to lock MGN12H linear rail blocks to left side of carriage (Z-axis)</t>
  </si>
  <si>
    <t>Used to lock left 200mm MGN12H linear rail to vertical carriage slider (Z-axis)</t>
  </si>
  <si>
    <t>Used to lock right 200mm MGN12H linear rail to vertical carriage slider (Z-axis)</t>
  </si>
  <si>
    <t>Used to lock router bracket to vertical carriage slider</t>
  </si>
  <si>
    <t xml:space="preserve">
Used to interlock aluminium profiles (upper and lower frame)</t>
  </si>
  <si>
    <t>Buy lock nut if available</t>
  </si>
  <si>
    <t xml:space="preserve">
Used to interlock lower and upper frame</t>
  </si>
  <si>
    <t>Buy ordinary nuts, as lock nuts won't fit in the holes in the side plate</t>
  </si>
  <si>
    <t>Used to lock left side plate, left side plate lower front/back clip and lower front/back bridge aluminium profile.</t>
  </si>
  <si>
    <t>Used to lock right side plate, right side plate lower front/back clip and lower front/back bridge aluminium profile.</t>
  </si>
  <si>
    <t>Used to tension X-axis belt</t>
  </si>
  <si>
    <t>Outer diameter</t>
  </si>
  <si>
    <t>Inner diameter</t>
  </si>
  <si>
    <t>Thickness</t>
  </si>
  <si>
    <t>Comment/adjustment if you can't find exact piece</t>
  </si>
  <si>
    <t>9mm</t>
  </si>
  <si>
    <t>4.5mm</t>
  </si>
  <si>
    <t>1mm</t>
  </si>
  <si>
    <t>15mm</t>
  </si>
  <si>
    <t>10mm</t>
  </si>
  <si>
    <t>2mm</t>
  </si>
  <si>
    <t>Used to interlock aluminium profiles (upper and lower frame)</t>
  </si>
  <si>
    <t>Used to interlock upper and lower frame</t>
  </si>
  <si>
    <t>Used to interlock the cable chain mount with the Y-axis cable chain</t>
  </si>
  <si>
    <t>4mm</t>
  </si>
  <si>
    <t>0.5mm</t>
  </si>
  <si>
    <t>8.5mm</t>
  </si>
  <si>
    <t>1.5mm</t>
  </si>
  <si>
    <t>Don't buy a too big outer diameter, as it might limit
the movement of the bearings.</t>
  </si>
  <si>
    <t>Used to interlock the left side plate with the Y-axis cable chain</t>
  </si>
  <si>
    <t>Emergency stop switch (KJD17B)</t>
  </si>
  <si>
    <t>Used to switch of all power in emergencies</t>
  </si>
  <si>
    <t>• Left hole in large electronic box's front plate
• 6.3mm splicing connector to whatever fits your emergency stop switch</t>
  </si>
  <si>
    <t>12V Fan</t>
  </si>
  <si>
    <t>Used to blow air out of the large electronic box</t>
  </si>
  <si>
    <t>12V DC, 100mA, 40x40x10 mm</t>
  </si>
  <si>
    <t>Screw hole profile and fan grid on the back side of the large electronic box's front plate</t>
  </si>
  <si>
    <t>Red LED</t>
  </si>
  <si>
    <t>Used to indicate that the power is on</t>
  </si>
  <si>
    <t>12V DC. 8mm diameter</t>
  </si>
  <si>
    <t>LED hole in large electronic box's front plate</t>
  </si>
  <si>
    <t>C14 terminal</t>
  </si>
  <si>
    <t>Used to connect C13 power cable to power the CNC</t>
  </si>
  <si>
    <t>Recommend to buy one with a built in fuse (e.g. glass fuse)</t>
  </si>
  <si>
    <t>• Right hole in large electronic box's front plate
• 4.8mm splicing connector to whatever fits your C14 terminal</t>
  </si>
  <si>
    <t>Spade connector (6.3mm)</t>
  </si>
  <si>
    <t>Used to connect power to and from emergency stop switch</t>
  </si>
  <si>
    <t>Recommended to buy 2 blue and 2 red to follow electrical color code</t>
  </si>
  <si>
    <t>Dependent on emergency stop switch</t>
  </si>
  <si>
    <t>Spade connector (4.8mm)</t>
  </si>
  <si>
    <t>Used to connect power wires from C14 terminal</t>
  </si>
  <si>
    <t>Recommended to buy 3 red, 2 blue and 1 green/yellow to follow electrical color code</t>
  </si>
  <si>
    <t>Dependent on C14 terminal</t>
  </si>
  <si>
    <t>220V/10A cable (red, blue and green/yellow)</t>
  </si>
  <si>
    <t>~2m</t>
  </si>
  <si>
    <t>Used to wire 220V between C14 terminal, emergency stop switch and power supply</t>
  </si>
  <si>
    <t>Make sure that you buy cable that can handle 220V. Also, I recommend to buy stranded cable as a solid cable might be more difficult to use.</t>
  </si>
  <si>
    <t>3-way Wago splicing connector (221-413)</t>
  </si>
  <si>
    <t>Used to split 220V inside large electronic box</t>
  </si>
  <si>
    <t>Any 3-way splicing connector works, as long as it's graded for the 220V wires</t>
  </si>
  <si>
    <t>12V power supply (UHP-200-12)</t>
  </si>
  <si>
    <t>Converts 220V to 12V (200.4W, 16.7A)</t>
  </si>
  <si>
    <t>• Hole profile on the large electronic box's back plate
• Make sure that it outputs 12 V and has enought amps for your steppers etc.</t>
  </si>
  <si>
    <t>Ring terminal (M4)</t>
  </si>
  <si>
    <t>Used to connect 220V to power supply</t>
  </si>
  <si>
    <t>Recommended to buy 1 red, 1 blue and one green/yellow to follow electrical color code</t>
  </si>
  <si>
    <t>Dependent on power supply</t>
  </si>
  <si>
    <t>Ring terminal (M3)</t>
  </si>
  <si>
    <t>Used to output 12V from power supply</t>
  </si>
  <si>
    <t>Recommended to buy 2 red and 2 blue to follow electrical color code</t>
  </si>
  <si>
    <t>Used to blow air out of the small electronic box</t>
  </si>
  <si>
    <t>Screw hole profile and fan grid on the back side of the small electronic box's front plate</t>
  </si>
  <si>
    <t>USB A PCB (female)</t>
  </si>
  <si>
    <t>Used to connect USB cable to Arduino</t>
  </si>
  <si>
    <t>USB hole in small electronic box's front plate</t>
  </si>
  <si>
    <t>USB A (male) to USB B (male)</t>
  </si>
  <si>
    <t>Connects USB A PCB (female) to Arduino</t>
  </si>
  <si>
    <t>30 cm should be more than enough</t>
  </si>
  <si>
    <t>12V wires (black and red)</t>
  </si>
  <si>
    <t>~10m</t>
  </si>
  <si>
    <t>Used for all end-stops and for power between power supply and CNC shield</t>
  </si>
  <si>
    <t>Make sure that the cable is graded for the voltage and amps required</t>
  </si>
  <si>
    <t>DRB8825 stepper drivers</t>
  </si>
  <si>
    <t>Used by all 4 stepper motors (X, Y1, Y2 and Z)</t>
  </si>
  <si>
    <t>Make sure that the stepper drivers fits the Arduino CNC shield</t>
  </si>
  <si>
    <t>Arduino Uno CNC Shield</t>
  </si>
  <si>
    <t>Chip that is used between the Arduino and the stepper motors</t>
  </si>
  <si>
    <t>Make sure that the CNC shield fits the Arduino Uno</t>
  </si>
  <si>
    <t>Arduino Uno</t>
  </si>
  <si>
    <t>Runs GRBL and executes all the G-Code sent by the computer</t>
  </si>
  <si>
    <t>There are clones of the Arduino Uno as well</t>
  </si>
  <si>
    <t>Jumpers</t>
  </si>
  <si>
    <t>Used to set microstepping on CNC shield and to mirror Y-axis</t>
  </si>
  <si>
    <t>Buy more than 6 if you want to have the option to set other microstepping</t>
  </si>
  <si>
    <t>As long as you can short the pins, it doesn't matter</t>
  </si>
  <si>
    <t>C-GRID III contact housing, 2.54mm (1X4)</t>
  </si>
  <si>
    <t>Housing used when connecting stepper motors to CNC shield</t>
  </si>
  <si>
    <t>Make sure that they fit the crimp sleeve</t>
  </si>
  <si>
    <t>C-GRID III contact housing, 2.54mm (1X2)</t>
  </si>
  <si>
    <t>Housing used when connecting end-stops to CNC shield</t>
  </si>
  <si>
    <t>Crimp sleeve C-GRID III AWG 22/24</t>
  </si>
  <si>
    <t>Crimped on top of each stepper motor and end-stop wire</t>
  </si>
  <si>
    <t>Recommended to buy more than 26, as you will probably waste a couple of them in the process</t>
  </si>
  <si>
    <t>Make sure that they fit the contact housing</t>
  </si>
  <si>
    <t>AWG22 wire (red, blue, green and black)</t>
  </si>
  <si>
    <t>~10m per color</t>
  </si>
  <si>
    <t>Used to extend the stepper motor wires</t>
  </si>
  <si>
    <t>Make sure that the cable fit the voltage/amps you're planning to use</t>
  </si>
  <si>
    <t>Spade connector (2.8mm)</t>
  </si>
  <si>
    <t>Used to connect Y-axis end-stop (-) wires to microswitch (end-stop)</t>
  </si>
  <si>
    <t>Recommended to buy 1 red and 1 black to follow electrical color code</t>
  </si>
  <si>
    <t>Microswitch</t>
  </si>
  <si>
    <t>Used as Y-axis end-stop (-)</t>
  </si>
  <si>
    <t>Search word: V4 Miniature Microswitch (roller lever)</t>
  </si>
  <si>
    <t>Adjust holes in end-stop mount</t>
  </si>
  <si>
    <t>Used to connect Y-axis end-stop (+) wires to microswitch (end-stop)</t>
  </si>
  <si>
    <t>Used as Y-axis end-stop (+)</t>
  </si>
  <si>
    <t>Geared (19:1) bipolar stepper motor (Nema 17, 8mm shaft diameter)</t>
  </si>
  <si>
    <t>Used as rigth Y-axis stepper motor</t>
  </si>
  <si>
    <t>Search words: Nema 17 Stepper Motor Bipolar L=48mm w/ Gear Ratio 19:1 Planetary Gearbox</t>
  </si>
  <si>
    <t>Adjust right side plate and pulley inner diameter</t>
  </si>
  <si>
    <t>Used as left Y-axis stepper motor</t>
  </si>
  <si>
    <t>Used to connect X-axis end-stop (-) wires to microswitch (end-stop)</t>
  </si>
  <si>
    <t>Used as X-axis end-stop (-)</t>
  </si>
  <si>
    <t>Used to connect X-axis end-stop (+) wires to microswitch (end-stop)</t>
  </si>
  <si>
    <t>Used as X-axis end-stop (+)</t>
  </si>
  <si>
    <t>220V power plug</t>
  </si>
  <si>
    <t>Used for cable management of milling router</t>
  </si>
  <si>
    <t>Either buy a normal power plug, or if you can find a Neutrik powercon plug (and socket) that can handle 220V</t>
  </si>
  <si>
    <t>220V power socket</t>
  </si>
  <si>
    <t>Either buy a normal power socket, or if you can find a Neutrik powercon socket (and plug) that can handle 220V</t>
  </si>
  <si>
    <t>Bipolar stepper motor (Nema 17, no gear, 5mm shaft diameter)</t>
  </si>
  <si>
    <t>Used as Z-axis stepper motor</t>
  </si>
  <si>
    <t xml:space="preserve">Search words: Nema 17 Bipolar 1.8deg 45Ncm (64oz.in) 1.68A 2.8V 42x42x48mm 4 Wires </t>
  </si>
  <si>
    <t>Used as X-axis stepper motor</t>
  </si>
  <si>
    <t>Used to connect Z-axis end-stop (+) wires to microswitch (end-stop)</t>
  </si>
  <si>
    <t>Used as Z-axis end-stop (+)</t>
  </si>
  <si>
    <t>Makita RT0700C (milling router)</t>
  </si>
  <si>
    <t>Used as the milling router</t>
  </si>
  <si>
    <t>There's an alternative named Makita RT0700CJ that also works</t>
  </si>
  <si>
    <t>Used to power the CNC machine</t>
  </si>
  <si>
    <t>3d-printed</t>
  </si>
  <si>
    <t>STL</t>
  </si>
  <si>
    <t>OBJ</t>
  </si>
  <si>
    <t>Front panel (large electronic box)</t>
  </si>
  <si>
    <t>Front panel of large electronic box</t>
  </si>
  <si>
    <t>Front middle panel (large electronic box)</t>
  </si>
  <si>
    <t>Front middle panel of large electronic box</t>
  </si>
  <si>
    <t>Back middle panel (large electronic box)</t>
  </si>
  <si>
    <t>Back middle panel of large electronic box</t>
  </si>
  <si>
    <t>Back panel (large electronic box)</t>
  </si>
  <si>
    <t>Back panel of large electronic box</t>
  </si>
  <si>
    <t>Flexible conduit strain relief (halves)</t>
  </si>
  <si>
    <t>Used to strain relief flexible conduits (large and small electronic boxes)</t>
  </si>
  <si>
    <t>Adjust inner diameter if you can't find a 13mm cable conduit</t>
  </si>
  <si>
    <t>Front panel (small electronic box)</t>
  </si>
  <si>
    <t>Front panel of small electronic box</t>
  </si>
  <si>
    <t>Front middle panel (small electronic box)</t>
  </si>
  <si>
    <t>Front middle panel of small electronic box</t>
  </si>
  <si>
    <t>Back middle panel (small electronic box)</t>
  </si>
  <si>
    <t>Back middle panel of small electronic box</t>
  </si>
  <si>
    <t>Back panel (small electronic box)</t>
  </si>
  <si>
    <t>Back panel of small electronic box</t>
  </si>
  <si>
    <t>USB lock</t>
  </si>
  <si>
    <t>Used to lock the USB A female to the small electronic box's front panel</t>
  </si>
  <si>
    <t>Adjust inner measurements depending on the USB A female</t>
  </si>
  <si>
    <t>Rail support</t>
  </si>
  <si>
    <t>Used to lock the rails into place on the Aluminium profiles</t>
  </si>
  <si>
    <t>Designed for 30x30mm aluminium profiles</t>
  </si>
  <si>
    <t>Wasteboard bracket</t>
  </si>
  <si>
    <t>Used to interlock wasteboard and frame</t>
  </si>
  <si>
    <t>Cable chain mount</t>
  </si>
  <si>
    <t>Used to interlock frame and Y-axis cable chain</t>
  </si>
  <si>
    <t>Adjust holes based on cable chain holes</t>
  </si>
  <si>
    <t>Cable chain support</t>
  </si>
  <si>
    <t>Used to support Y-axis cable chain</t>
  </si>
  <si>
    <t>Left belt tension slider</t>
  </si>
  <si>
    <t>Left belt tensioner</t>
  </si>
  <si>
    <t>End-stop mount (ordinary)</t>
  </si>
  <si>
    <t>Used for Y-axis end-stop (-) and block left Y-axis linear rail</t>
  </si>
  <si>
    <t>Adjust holes if other microswitch hole profiles</t>
  </si>
  <si>
    <t>Left fixed belt tensioner</t>
  </si>
  <si>
    <t>End-stop mount (tall)</t>
  </si>
  <si>
    <t>Used for Y-axis end-stop (+)</t>
  </si>
  <si>
    <t>Right belt tension slider</t>
  </si>
  <si>
    <t>Right belt tensioner</t>
  </si>
  <si>
    <t>Right fixed belt tensioner</t>
  </si>
  <si>
    <t>Used to block right Y-axis linear rail</t>
  </si>
  <si>
    <t>Idler block</t>
  </si>
  <si>
    <t>Left side plate</t>
  </si>
  <si>
    <t>Used to lock bridge to left linear rail among other things</t>
  </si>
  <si>
    <t>Left side plate upper front clip</t>
  </si>
  <si>
    <t>Used to lock upper front bridge aluminium profile to left side plate</t>
  </si>
  <si>
    <t>Left side plate lower front clip</t>
  </si>
  <si>
    <t>Used to lock lower front bridge aluminium profile to left side plate</t>
  </si>
  <si>
    <t>Left side plate lower back clip</t>
  </si>
  <si>
    <t>Used to lock lower back bridge aluminium profile to left side plate</t>
  </si>
  <si>
    <t>Right side plate</t>
  </si>
  <si>
    <t>Used to lock bridge to right linear rail among other things</t>
  </si>
  <si>
    <t>Right side plate upper front clip</t>
  </si>
  <si>
    <t>Used to lock upper front bridge aluminium profile to right side plate</t>
  </si>
  <si>
    <t>Right side plate lower front clip</t>
  </si>
  <si>
    <t>Used to lock lower front bridge aluminium profile to right side plate</t>
  </si>
  <si>
    <t>Right side plate lower back clip</t>
  </si>
  <si>
    <t>Used to lock lower back bridge aluminium profile to right side plate</t>
  </si>
  <si>
    <t>Used for X-axis end-stop (-) and block X-axis linear rail</t>
  </si>
  <si>
    <t>End-stop mount (thick)</t>
  </si>
  <si>
    <t>Used for X-axis end-stop (+)</t>
  </si>
  <si>
    <t>X-axis cable chain mount</t>
  </si>
  <si>
    <t>Used to mount X-axis cable chain and power plug/socket</t>
  </si>
  <si>
    <t>Z-axis stepper motor mount</t>
  </si>
  <si>
    <t>Used to mount Z-axis stepper motor</t>
  </si>
  <si>
    <t>Vaccum hose ring</t>
  </si>
  <si>
    <t>Used to lock vaccum to carriage</t>
  </si>
  <si>
    <t>Carriage</t>
  </si>
  <si>
    <t>Center piece of X-axis and Z-axis</t>
  </si>
  <si>
    <t>Vertical carriage slider</t>
  </si>
  <si>
    <t>Used to lock milling router to carriage</t>
  </si>
  <si>
    <t>Z-axis end-stop trigger</t>
  </si>
  <si>
    <t>Used to trigger Z-axis end-stop (+)</t>
  </si>
  <si>
    <t>Vaccum funnel</t>
  </si>
  <si>
    <t>Used to mount the vaccuum close to the milling router</t>
  </si>
  <si>
    <t>It's not the best solution, redesign if you have the time.</t>
  </si>
  <si>
    <t>Milling router bracket</t>
  </si>
  <si>
    <t>Used to lock milling router to vertical carriage slider</t>
  </si>
  <si>
    <t>Flexible conduit</t>
  </si>
  <si>
    <t>2m</t>
  </si>
  <si>
    <t>Used on multiple places to run wires inside</t>
  </si>
  <si>
    <t xml:space="preserve">• Outer diameter: 13mm
• Inner diameter: 10mm
</t>
  </si>
  <si>
    <t>Adjust inner diameter of cable conduit strain relief</t>
  </si>
  <si>
    <t>Cable clip</t>
  </si>
  <si>
    <t>Used to keep router cable from Arduino CNC shield in small electronic box</t>
  </si>
  <si>
    <t>Buy one that fits the router cable</t>
  </si>
  <si>
    <t>Cable ties</t>
  </si>
  <si>
    <t>~30</t>
  </si>
  <si>
    <t>Used to keep things in place and as strain relief</t>
  </si>
  <si>
    <t>You don't have to buy too thick cable ties, there are no real forces involved</t>
  </si>
  <si>
    <t>Shrinking tubes</t>
  </si>
  <si>
    <t>NA</t>
  </si>
  <si>
    <t>Used to keep wires together</t>
  </si>
  <si>
    <t>Buy a set of different sizes</t>
  </si>
  <si>
    <t>Masking tape</t>
  </si>
  <si>
    <t>Used to mark different parts</t>
  </si>
  <si>
    <t>Aluminium profiles (80x30x30 mm)</t>
  </si>
  <si>
    <t>Used to lock upper and lower aluminium frames</t>
  </si>
  <si>
    <t>Make sure to buy thick enought profiles. I used 3mm thick profiles.</t>
  </si>
  <si>
    <t xml:space="preserve">If you use other outer dimensions, you need to adjust quite a lot of parts.
</t>
  </si>
  <si>
    <t>Aluminium profiles (677x30x30 mm)</t>
  </si>
  <si>
    <t>Used in upper and lower aluminium frames</t>
  </si>
  <si>
    <t>If you use other outer dimensions, you need to adjust quite a lot of parts (electronic boxes, 
wasteboard brackets etc).</t>
  </si>
  <si>
    <t>Aluminium profiles (900x30x30 mm)</t>
  </si>
  <si>
    <t>If you use other outer dimensions, you need to adjust quite a lot of parts (wasteboard brackets etc).</t>
  </si>
  <si>
    <t>Aluminium profiles (803x30x30 mm)</t>
  </si>
  <si>
    <t>Used as bridge beams, used for X-axis</t>
  </si>
  <si>
    <t>If you use other outer dimensions, you need to adjust quite a lot of parts (side plates etc).</t>
  </si>
  <si>
    <t>Cable chain (1m long, 30x15mm inner dimensions)</t>
  </si>
  <si>
    <t>Used for Y-axis</t>
  </si>
  <si>
    <t>Buy at least 30x15mm inner dimensions, otherwise you might not fit all the cables.</t>
  </si>
  <si>
    <t>HTD5M belt (15mm width)</t>
  </si>
  <si>
    <t>4m</t>
  </si>
  <si>
    <t>Used for X-axis and Y-axis</t>
  </si>
  <si>
    <t>Buy a reinforced belt if available (e.g. steel wires inside)</t>
  </si>
  <si>
    <t>Adjust belt tensioner, fixed belt tensioner and buy other pulleys than HTD5M</t>
  </si>
  <si>
    <t>MGN12H linear rail (600mm)</t>
  </si>
  <si>
    <t>Used for left Y-axis</t>
  </si>
  <si>
    <t>Braided cable sleeve (20mm)</t>
  </si>
  <si>
    <t>5m</t>
  </si>
  <si>
    <t>Used to keep cables and wires together</t>
  </si>
  <si>
    <t>You can probably buy a smaller sleeve, but don't go too small as you might not fit all the cables.</t>
  </si>
  <si>
    <t>MGN12H linear rail block</t>
  </si>
  <si>
    <t>Used to lock left side plate to left Y-axis MGN12H linear rail</t>
  </si>
  <si>
    <t>If you buy a too cheap rail, you might need to clean the balls in the bearings.</t>
  </si>
  <si>
    <t>Used for right Y-axis</t>
  </si>
  <si>
    <t>Used to lock right side plate to right Y-axis MGN12H linear rail</t>
  </si>
  <si>
    <t>HTD5M pulley (12 teeth, 8mm bore, 15mm belt width)</t>
  </si>
  <si>
    <t>Used to move right Y-axis</t>
  </si>
  <si>
    <t>Make sure that the pulley has holes for set screws and that set screws are included.</t>
  </si>
  <si>
    <t>You can buy a pulley with a different set of teeth. If you have another inner diameter, you have
to find another stepper with the same shaft dimensions.</t>
  </si>
  <si>
    <t>698zz bearing</t>
  </si>
  <si>
    <t>6 bearings is a minimum. Using 8 will give the belt a bit more wiggle room, which might be good. You have to buy the 698zz bearings, as 
ordinary 608 bearings won't fit.</t>
  </si>
  <si>
    <t>Used to move left Y-axis</t>
  </si>
  <si>
    <t>Used for X-axis, lower bridge beam aluminium profile</t>
  </si>
  <si>
    <t>Used for X-axis, upper bridge beam aluminium profile</t>
  </si>
  <si>
    <t>Used for X-axis</t>
  </si>
  <si>
    <t>GT2 pulley (16 teeth, 5mm bore, 6mm belt width)</t>
  </si>
  <si>
    <t>Used for Z-axis</t>
  </si>
  <si>
    <t>You might need to buy another Z-axis GT2 belt length if you change the number of teeth.</t>
  </si>
  <si>
    <t>GT2 belt (6mm belt width, 300mm long)</t>
  </si>
  <si>
    <t>Make sure to buy a linked belt</t>
  </si>
  <si>
    <t>If you find, you can buy a shorter belt (~280mm) as well</t>
  </si>
  <si>
    <t>GT2 pulley (60 teeth, 8mm bore, 6mm belt width)</t>
  </si>
  <si>
    <t>Acme threaded rod (300 mm long, 8x8mm)</t>
  </si>
  <si>
    <t>Make sure that you have matching acme rod and acme nut</t>
  </si>
  <si>
    <t>KFL08 rod bearing (8mm)</t>
  </si>
  <si>
    <t>Used to lock the acme threaded rod to the top of the carriage</t>
  </si>
  <si>
    <t>Make sure that the inner diameter is matching the acme threaded rod</t>
  </si>
  <si>
    <t>Used to lock the acme threaded rod to the bottom of the carriage</t>
  </si>
  <si>
    <t>Used to lock carriage to upper X-axis MGN12H linear rail</t>
  </si>
  <si>
    <t>Used to lock carriage to lower X-axis MGN12H linear rail</t>
  </si>
  <si>
    <t>Used to move X-axis</t>
  </si>
  <si>
    <t>Acme threaded rod nut (8x8mm)</t>
  </si>
  <si>
    <t>MGN12H linear rail (200mm)</t>
  </si>
  <si>
    <t>Used for Z-axis, left side on vertical carriage slider</t>
  </si>
  <si>
    <t>Used for Z-axis, right side on vertical carriage slider</t>
  </si>
  <si>
    <t>Used for Z-axis, to lock carriage to vertical carriage slider (left side)</t>
  </si>
  <si>
    <t>Used for Z-axis, to lock carriage to vertical carriage slider (right side)</t>
  </si>
  <si>
    <t>Flat end mill</t>
  </si>
  <si>
    <t xml:space="preserve">Used together with router </t>
  </si>
  <si>
    <t>Buy flat end mills of different dimensions to be able to use the CNC machine. The Makita router can handle end mills with 6-8mm shaft diameter</t>
  </si>
  <si>
    <t>Used to let router cable enter the small electronic box.</t>
  </si>
  <si>
    <t>Buy one with an inner diameter that fits the router cable.</t>
  </si>
  <si>
    <t>Used as wasteboard</t>
  </si>
  <si>
    <t>Threaded rod</t>
  </si>
  <si>
    <t>717mm</t>
  </si>
  <si>
    <t>120mm</t>
  </si>
  <si>
    <t>Used to interlock lower and upper frame</t>
  </si>
  <si>
    <t>140mm</t>
  </si>
  <si>
    <t>Used to lock left side plate, left side plate lower front/back clip and lower front/back bridge aluminium profiles.</t>
  </si>
  <si>
    <t>It doesn't hurt to make it a bit longer, e.g. 150mm</t>
  </si>
  <si>
    <t>Used to lock right side plate, right side plate lower front/back clip and lower front/back bridge aluminium profiles.</t>
  </si>
  <si>
    <t>Part category</t>
  </si>
  <si>
    <t>Consumable sub-categories</t>
  </si>
  <si>
    <t>Screw sizes</t>
  </si>
  <si>
    <t>M2</t>
  </si>
  <si>
    <t>M6</t>
  </si>
  <si>
    <t>M7</t>
  </si>
  <si>
    <t>M9</t>
  </si>
  <si>
    <t>M10</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</si>
</sst>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font>
    <font>
      <b/>
      <sz val="12.0"/>
      <color theme="1"/>
      <name val="Arial"/>
    </font>
    <font>
      <sz val="12.0"/>
      <color theme="1"/>
      <name val="Arial"/>
    </font>
    <font>
      <b/>
      <sz val="18.0"/>
      <color theme="1"/>
      <name val="Arial"/>
    </font>
    <font/>
    <font>
      <b/>
      <color theme="1"/>
      <name val="Arial"/>
    </font>
    <font>
      <color theme="1"/>
      <name val="Arial"/>
    </font>
    <font>
      <sz val="11.0"/>
      <color rgb="FFF7981D"/>
      <name val="Arial"/>
    </font>
    <font>
      <b/>
    </font>
    <font>
      <b/>
      <sz val="18.0"/>
    </font>
    <font>
      <b/>
      <sz val="24.0"/>
      <color theme="1"/>
      <name val="Arial"/>
    </font>
    <font>
      <b/>
      <sz val="10.0"/>
      <color theme="1"/>
      <name val="Arial"/>
    </font>
    <font>
      <color rgb="FF000000"/>
      <name val="&quot;Arial&quot;"/>
    </font>
    <font>
      <b/>
      <sz val="10.0"/>
    </font>
  </fonts>
  <fills count="3">
    <fill>
      <patternFill patternType="none"/>
    </fill>
    <fill>
      <patternFill patternType="lightGray"/>
    </fill>
    <fill>
      <patternFill patternType="solid">
        <fgColor rgb="FFA4C2F4"/>
        <bgColor rgb="FFA4C2F4"/>
      </patternFill>
    </fill>
  </fills>
  <borders count="12">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top style="thin">
        <color rgb="FF000000"/>
      </top>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Alignment="1" applyBorder="1" applyFill="1" applyFont="1">
      <alignment readingOrder="0"/>
    </xf>
    <xf borderId="2" fillId="2" fontId="1" numFmtId="0" xfId="0" applyAlignment="1" applyBorder="1" applyFont="1">
      <alignment readingOrder="0"/>
    </xf>
    <xf borderId="1" fillId="0" fontId="1" numFmtId="0" xfId="0" applyAlignment="1" applyBorder="1" applyFont="1">
      <alignment readingOrder="0"/>
    </xf>
    <xf borderId="2" fillId="0" fontId="2" numFmtId="0" xfId="0" applyAlignment="1" applyBorder="1" applyFont="1">
      <alignment readingOrder="0"/>
    </xf>
    <xf borderId="3" fillId="0" fontId="1" numFmtId="0" xfId="0" applyAlignment="1" applyBorder="1" applyFont="1">
      <alignment readingOrder="0"/>
    </xf>
    <xf borderId="4" fillId="0" fontId="2" numFmtId="0" xfId="0" applyAlignment="1" applyBorder="1" applyFont="1">
      <alignment readingOrder="0"/>
    </xf>
    <xf borderId="5" fillId="0" fontId="1" numFmtId="0" xfId="0" applyAlignment="1" applyBorder="1" applyFont="1">
      <alignment readingOrder="0"/>
    </xf>
    <xf borderId="6" fillId="0" fontId="2" numFmtId="0" xfId="0" applyAlignment="1" applyBorder="1" applyFont="1">
      <alignment readingOrder="0"/>
    </xf>
    <xf borderId="1" fillId="2" fontId="3" numFmtId="0" xfId="0" applyAlignment="1" applyBorder="1" applyFont="1">
      <alignment horizontal="left" readingOrder="0"/>
    </xf>
    <xf borderId="7" fillId="0" fontId="4" numFmtId="0" xfId="0" applyBorder="1" applyFont="1"/>
    <xf borderId="2" fillId="0" fontId="4" numFmtId="0" xfId="0" applyBorder="1" applyFont="1"/>
    <xf borderId="5" fillId="2" fontId="5" numFmtId="0" xfId="0" applyAlignment="1" applyBorder="1" applyFont="1">
      <alignment readingOrder="0"/>
    </xf>
    <xf borderId="8" fillId="2" fontId="5" numFmtId="0" xfId="0" applyBorder="1" applyFont="1"/>
    <xf borderId="6" fillId="2" fontId="5" numFmtId="0" xfId="0" applyBorder="1" applyFont="1"/>
    <xf borderId="1" fillId="0" fontId="6" numFmtId="0" xfId="0" applyAlignment="1" applyBorder="1" applyFont="1">
      <alignment readingOrder="0"/>
    </xf>
    <xf borderId="7" fillId="0" fontId="6" numFmtId="0" xfId="0" applyBorder="1" applyFont="1"/>
    <xf borderId="2" fillId="0" fontId="6" numFmtId="0" xfId="0" applyBorder="1" applyFont="1"/>
    <xf borderId="3" fillId="0" fontId="6" numFmtId="0" xfId="0" applyAlignment="1" applyBorder="1" applyFont="1">
      <alignment readingOrder="0"/>
    </xf>
    <xf borderId="0" fillId="0" fontId="6" numFmtId="0" xfId="0" applyFont="1"/>
    <xf borderId="4" fillId="0" fontId="6" numFmtId="0" xfId="0" applyBorder="1" applyFont="1"/>
    <xf borderId="5" fillId="0" fontId="6" numFmtId="0" xfId="0" applyAlignment="1" applyBorder="1" applyFont="1">
      <alignment readingOrder="0"/>
    </xf>
    <xf borderId="8" fillId="0" fontId="6" numFmtId="0" xfId="0" applyBorder="1" applyFont="1"/>
    <xf borderId="3" fillId="0" fontId="6" numFmtId="0" xfId="0" applyBorder="1" applyFont="1"/>
    <xf borderId="3" fillId="2" fontId="5" numFmtId="0" xfId="0" applyAlignment="1" applyBorder="1" applyFont="1">
      <alignment readingOrder="0"/>
    </xf>
    <xf borderId="0" fillId="2" fontId="5" numFmtId="0" xfId="0" applyFont="1"/>
    <xf borderId="4" fillId="2" fontId="5" numFmtId="0" xfId="0" applyBorder="1" applyFont="1"/>
    <xf borderId="6" fillId="0" fontId="6" numFmtId="0" xfId="0" applyBorder="1" applyFont="1"/>
    <xf borderId="0" fillId="0" fontId="7" numFmtId="0" xfId="0" applyAlignment="1" applyFont="1">
      <alignment readingOrder="0"/>
    </xf>
    <xf borderId="3" fillId="0" fontId="4" numFmtId="0" xfId="0" applyAlignment="1" applyBorder="1" applyFont="1">
      <alignment readingOrder="0"/>
    </xf>
    <xf borderId="5" fillId="0" fontId="4" numFmtId="0" xfId="0" applyAlignment="1" applyBorder="1" applyFont="1">
      <alignment readingOrder="0"/>
    </xf>
    <xf borderId="8" fillId="0" fontId="4" numFmtId="0" xfId="0" applyAlignment="1" applyBorder="1" applyFont="1">
      <alignment readingOrder="0"/>
    </xf>
    <xf borderId="6" fillId="0" fontId="4" numFmtId="0" xfId="0" applyAlignment="1" applyBorder="1" applyFont="1">
      <alignment readingOrder="0"/>
    </xf>
    <xf borderId="0" fillId="0" fontId="7" numFmtId="0" xfId="0" applyFont="1"/>
    <xf borderId="3" fillId="2" fontId="8" numFmtId="0" xfId="0" applyAlignment="1" applyBorder="1" applyFont="1">
      <alignment readingOrder="0"/>
    </xf>
    <xf borderId="1" fillId="0" fontId="4" numFmtId="0" xfId="0" applyAlignment="1" applyBorder="1" applyFont="1">
      <alignment readingOrder="0"/>
    </xf>
    <xf borderId="5" fillId="2" fontId="8" numFmtId="0" xfId="0" applyAlignment="1" applyBorder="1" applyFont="1">
      <alignment readingOrder="0"/>
    </xf>
    <xf borderId="0" fillId="0" fontId="9" numFmtId="0" xfId="0" applyAlignment="1" applyFont="1">
      <alignment horizontal="center" readingOrder="0"/>
    </xf>
    <xf borderId="0" fillId="0" fontId="5" numFmtId="0" xfId="0" applyFont="1"/>
    <xf borderId="0" fillId="0" fontId="4" numFmtId="0" xfId="0" applyAlignment="1" applyFont="1">
      <alignment readingOrder="0"/>
    </xf>
    <xf borderId="4" fillId="0" fontId="4" numFmtId="0" xfId="0" applyAlignment="1" applyBorder="1" applyFont="1">
      <alignment readingOrder="0"/>
    </xf>
    <xf borderId="0" fillId="0" fontId="10" numFmtId="0" xfId="0" applyAlignment="1" applyFont="1">
      <alignment horizontal="left" readingOrder="0"/>
    </xf>
    <xf borderId="8" fillId="2" fontId="5" numFmtId="0" xfId="0" applyAlignment="1" applyBorder="1" applyFont="1">
      <alignment readingOrder="0"/>
    </xf>
    <xf borderId="6" fillId="2" fontId="5" numFmtId="0" xfId="0" applyAlignment="1" applyBorder="1" applyFont="1">
      <alignment readingOrder="0"/>
    </xf>
    <xf borderId="3" fillId="0" fontId="5" numFmtId="0" xfId="0" applyBorder="1" applyFont="1"/>
    <xf borderId="0" fillId="0" fontId="6" numFmtId="0" xfId="0" applyAlignment="1" applyFont="1">
      <alignment readingOrder="0"/>
    </xf>
    <xf borderId="4" fillId="0" fontId="6" numFmtId="0" xfId="0" applyAlignment="1" applyBorder="1" applyFont="1">
      <alignment readingOrder="0"/>
    </xf>
    <xf borderId="0" fillId="0" fontId="6" numFmtId="0" xfId="0" applyAlignment="1" applyFont="1">
      <alignment readingOrder="0" vertical="bottom"/>
    </xf>
    <xf borderId="5" fillId="0" fontId="5" numFmtId="0" xfId="0" applyBorder="1" applyFont="1"/>
    <xf borderId="8" fillId="0" fontId="6" numFmtId="0" xfId="0" applyAlignment="1" applyBorder="1" applyFont="1">
      <alignment readingOrder="0"/>
    </xf>
    <xf borderId="6" fillId="0" fontId="6" numFmtId="0" xfId="0" applyAlignment="1" applyBorder="1" applyFont="1">
      <alignment readingOrder="0"/>
    </xf>
    <xf borderId="0" fillId="0" fontId="1" numFmtId="0" xfId="0" applyAlignment="1" applyFont="1">
      <alignment horizontal="center" readingOrder="0"/>
    </xf>
    <xf borderId="1" fillId="0" fontId="11" numFmtId="0" xfId="0" applyAlignment="1" applyBorder="1" applyFont="1">
      <alignment horizontal="left" readingOrder="0"/>
    </xf>
    <xf borderId="7" fillId="0" fontId="6" numFmtId="0" xfId="0" applyAlignment="1" applyBorder="1" applyFont="1">
      <alignment readingOrder="0"/>
    </xf>
    <xf borderId="2" fillId="0" fontId="6" numFmtId="0" xfId="0" applyAlignment="1" applyBorder="1" applyFont="1">
      <alignment readingOrder="0"/>
    </xf>
    <xf borderId="3" fillId="0" fontId="11" numFmtId="0" xfId="0" applyAlignment="1" applyBorder="1" applyFont="1">
      <alignment horizontal="left" readingOrder="0"/>
    </xf>
    <xf borderId="5" fillId="0" fontId="11" numFmtId="0" xfId="0" applyAlignment="1" applyBorder="1" applyFont="1">
      <alignment horizontal="left" readingOrder="0"/>
    </xf>
    <xf borderId="0" fillId="0" fontId="11" numFmtId="0" xfId="0" applyFont="1"/>
    <xf borderId="8" fillId="0" fontId="11" numFmtId="0" xfId="0" applyBorder="1" applyFont="1"/>
    <xf borderId="0" fillId="0" fontId="5" numFmtId="0" xfId="0" applyAlignment="1" applyFont="1">
      <alignment readingOrder="0"/>
    </xf>
    <xf borderId="0" fillId="2" fontId="5" numFmtId="0" xfId="0" applyAlignment="1" applyFont="1">
      <alignment readingOrder="0"/>
    </xf>
    <xf borderId="4" fillId="2" fontId="5" numFmtId="0" xfId="0" applyAlignment="1" applyBorder="1" applyFont="1">
      <alignment readingOrder="0"/>
    </xf>
    <xf borderId="0" fillId="0" fontId="6" numFmtId="0" xfId="0" applyAlignment="1" applyFont="1">
      <alignment horizontal="right" readingOrder="0"/>
    </xf>
    <xf borderId="0" fillId="0" fontId="4" numFmtId="0" xfId="0" applyAlignment="1" applyFont="1">
      <alignment horizontal="right" readingOrder="0"/>
    </xf>
    <xf borderId="5" fillId="0" fontId="8" numFmtId="0" xfId="0" applyAlignment="1" applyBorder="1" applyFont="1">
      <alignment horizontal="left" readingOrder="0"/>
    </xf>
    <xf borderId="8" fillId="0" fontId="4" numFmtId="0" xfId="0" applyAlignment="1" applyBorder="1" applyFont="1">
      <alignment horizontal="right" readingOrder="0"/>
    </xf>
    <xf borderId="0" fillId="0" fontId="12" numFmtId="0" xfId="0" applyAlignment="1" applyFont="1">
      <alignment readingOrder="0"/>
    </xf>
    <xf borderId="0" fillId="0" fontId="6" numFmtId="0" xfId="0" applyAlignment="1" applyFont="1">
      <alignment vertical="bottom"/>
    </xf>
    <xf borderId="0" fillId="0" fontId="6" numFmtId="0" xfId="0" applyAlignment="1" applyFont="1">
      <alignment horizontal="right" vertical="bottom"/>
    </xf>
    <xf borderId="4" fillId="0" fontId="6" numFmtId="0" xfId="0" applyAlignment="1" applyBorder="1" applyFont="1">
      <alignment vertical="bottom"/>
    </xf>
    <xf borderId="3" fillId="0" fontId="13" numFmtId="0" xfId="0" applyAlignment="1" applyBorder="1" applyFont="1">
      <alignment horizontal="left" readingOrder="0"/>
    </xf>
    <xf borderId="5" fillId="0" fontId="13" numFmtId="0" xfId="0" applyAlignment="1" applyBorder="1" applyFont="1">
      <alignment horizontal="left" readingOrder="0"/>
    </xf>
    <xf borderId="8" fillId="0" fontId="12" numFmtId="0" xfId="0" applyAlignment="1" applyBorder="1" applyFont="1">
      <alignment readingOrder="0"/>
    </xf>
    <xf borderId="3" fillId="0" fontId="5" numFmtId="0" xfId="0" applyAlignment="1" applyBorder="1" applyFont="1">
      <alignment readingOrder="0"/>
    </xf>
    <xf borderId="5" fillId="0" fontId="5" numFmtId="0" xfId="0" applyAlignment="1" applyBorder="1" applyFont="1">
      <alignment readingOrder="0"/>
    </xf>
    <xf borderId="9" fillId="2" fontId="5" numFmtId="0" xfId="0" applyAlignment="1" applyBorder="1" applyFont="1">
      <alignment readingOrder="0"/>
    </xf>
    <xf borderId="10" fillId="0" fontId="6" numFmtId="0" xfId="0" applyAlignment="1" applyBorder="1" applyFont="1">
      <alignment readingOrder="0"/>
    </xf>
    <xf borderId="10" fillId="0" fontId="6" numFmtId="0" xfId="0" applyBorder="1" applyFont="1"/>
    <xf borderId="11" fillId="0" fontId="6" numFmtId="0" xfId="0" applyBorder="1" applyFont="1"/>
    <xf borderId="11" fillId="0" fontId="6"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1.57"/>
    <col customWidth="1" min="2" max="2" width="59.29"/>
  </cols>
  <sheetData>
    <row r="1">
      <c r="A1" s="1" t="s">
        <v>0</v>
      </c>
      <c r="B1" s="2" t="s">
        <v>1</v>
      </c>
    </row>
    <row r="2">
      <c r="A2" s="3" t="s">
        <v>2</v>
      </c>
      <c r="B2" s="4" t="s">
        <v>3</v>
      </c>
    </row>
    <row r="3">
      <c r="A3" s="5" t="s">
        <v>4</v>
      </c>
      <c r="B3" s="6" t="s">
        <v>5</v>
      </c>
    </row>
    <row r="4">
      <c r="A4" s="7" t="s">
        <v>6</v>
      </c>
      <c r="B4" s="8" t="s">
        <v>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58.86"/>
  </cols>
  <sheetData>
    <row r="1">
      <c r="A1" s="9" t="s">
        <v>8</v>
      </c>
      <c r="B1" s="10"/>
      <c r="C1" s="10"/>
      <c r="D1" s="11"/>
    </row>
    <row r="2">
      <c r="A2" s="12" t="s">
        <v>9</v>
      </c>
      <c r="B2" s="13" t="str">
        <f>IFERROR(__xludf.DUMMYFUNCTION("QUERY('Raw - Bill of material'!E4:G66, ""select E, F, sum(G) group by E, F label sum(G) 'Amount'"",1)"),"Size")</f>
        <v>Size</v>
      </c>
      <c r="C2" s="13" t="str">
        <f>IFERROR(__xludf.DUMMYFUNCTION("""COMPUTED_VALUE"""),"Length")</f>
        <v>Length</v>
      </c>
      <c r="D2" s="14" t="str">
        <f>IFERROR(__xludf.DUMMYFUNCTION("""COMPUTED_VALUE"""),"Amount")</f>
        <v>Amount</v>
      </c>
    </row>
    <row r="3">
      <c r="A3" s="15" t="s">
        <v>10</v>
      </c>
      <c r="B3" s="16" t="str">
        <f>IFERROR(__xludf.DUMMYFUNCTION("""COMPUTED_VALUE"""),"3.5mm")</f>
        <v>3.5mm</v>
      </c>
      <c r="C3" s="16" t="str">
        <f>IFERROR(__xludf.DUMMYFUNCTION("""COMPUTED_VALUE"""),"20mm")</f>
        <v>20mm</v>
      </c>
      <c r="D3" s="17">
        <f>IFERROR(__xludf.DUMMYFUNCTION("""COMPUTED_VALUE"""),14.0)</f>
        <v>14</v>
      </c>
    </row>
    <row r="4">
      <c r="A4" s="18" t="s">
        <v>11</v>
      </c>
      <c r="B4" s="19" t="str">
        <f>IFERROR(__xludf.DUMMYFUNCTION("""COMPUTED_VALUE"""),"M3")</f>
        <v>M3</v>
      </c>
      <c r="C4" s="19" t="str">
        <f>IFERROR(__xludf.DUMMYFUNCTION("""COMPUTED_VALUE"""),"12mm")</f>
        <v>12mm</v>
      </c>
      <c r="D4" s="20">
        <f>IFERROR(__xludf.DUMMYFUNCTION("""COMPUTED_VALUE"""),20.0)</f>
        <v>20</v>
      </c>
    </row>
    <row r="5">
      <c r="A5" s="18" t="s">
        <v>12</v>
      </c>
      <c r="B5" s="19" t="str">
        <f>IFERROR(__xludf.DUMMYFUNCTION("""COMPUTED_VALUE"""),"M3")</f>
        <v>M3</v>
      </c>
      <c r="C5" s="19" t="str">
        <f>IFERROR(__xludf.DUMMYFUNCTION("""COMPUTED_VALUE"""),"16mm")</f>
        <v>16mm</v>
      </c>
      <c r="D5" s="20">
        <f>IFERROR(__xludf.DUMMYFUNCTION("""COMPUTED_VALUE"""),96.0)</f>
        <v>96</v>
      </c>
    </row>
    <row r="6">
      <c r="A6" s="18" t="s">
        <v>13</v>
      </c>
      <c r="B6" s="19" t="str">
        <f>IFERROR(__xludf.DUMMYFUNCTION("""COMPUTED_VALUE"""),"M3")</f>
        <v>M3</v>
      </c>
      <c r="C6" s="19" t="str">
        <f>IFERROR(__xludf.DUMMYFUNCTION("""COMPUTED_VALUE"""),"20mm")</f>
        <v>20mm</v>
      </c>
      <c r="D6" s="20">
        <f>IFERROR(__xludf.DUMMYFUNCTION("""COMPUTED_VALUE"""),32.0)</f>
        <v>32</v>
      </c>
    </row>
    <row r="7">
      <c r="A7" s="18" t="s">
        <v>14</v>
      </c>
      <c r="B7" s="19" t="str">
        <f>IFERROR(__xludf.DUMMYFUNCTION("""COMPUTED_VALUE"""),"M3")</f>
        <v>M3</v>
      </c>
      <c r="C7" s="19" t="str">
        <f>IFERROR(__xludf.DUMMYFUNCTION("""COMPUTED_VALUE"""),"25mm")</f>
        <v>25mm</v>
      </c>
      <c r="D7" s="20">
        <f>IFERROR(__xludf.DUMMYFUNCTION("""COMPUTED_VALUE"""),36.0)</f>
        <v>36</v>
      </c>
    </row>
    <row r="8">
      <c r="A8" s="18" t="s">
        <v>15</v>
      </c>
      <c r="B8" s="19" t="str">
        <f>IFERROR(__xludf.DUMMYFUNCTION("""COMPUTED_VALUE"""),"M3")</f>
        <v>M3</v>
      </c>
      <c r="C8" s="19" t="str">
        <f>IFERROR(__xludf.DUMMYFUNCTION("""COMPUTED_VALUE"""),"40mm")</f>
        <v>40mm</v>
      </c>
      <c r="D8" s="20">
        <f>IFERROR(__xludf.DUMMYFUNCTION("""COMPUTED_VALUE"""),12.0)</f>
        <v>12</v>
      </c>
    </row>
    <row r="9">
      <c r="A9" s="18" t="s">
        <v>16</v>
      </c>
      <c r="B9" s="19" t="str">
        <f>IFERROR(__xludf.DUMMYFUNCTION("""COMPUTED_VALUE"""),"M3")</f>
        <v>M3</v>
      </c>
      <c r="C9" s="19" t="str">
        <f>IFERROR(__xludf.DUMMYFUNCTION("""COMPUTED_VALUE"""),"5mm")</f>
        <v>5mm</v>
      </c>
      <c r="D9" s="20">
        <f>IFERROR(__xludf.DUMMYFUNCTION("""COMPUTED_VALUE"""),8.0)</f>
        <v>8</v>
      </c>
    </row>
    <row r="10">
      <c r="A10" s="18" t="s">
        <v>17</v>
      </c>
      <c r="B10" s="19" t="str">
        <f>IFERROR(__xludf.DUMMYFUNCTION("""COMPUTED_VALUE"""),"M3")</f>
        <v>M3</v>
      </c>
      <c r="C10" s="19" t="str">
        <f>IFERROR(__xludf.DUMMYFUNCTION("""COMPUTED_VALUE"""),"8mm")</f>
        <v>8mm</v>
      </c>
      <c r="D10" s="20">
        <f>IFERROR(__xludf.DUMMYFUNCTION("""COMPUTED_VALUE"""),4.0)</f>
        <v>4</v>
      </c>
    </row>
    <row r="11">
      <c r="A11" s="18" t="s">
        <v>18</v>
      </c>
      <c r="B11" s="19" t="str">
        <f>IFERROR(__xludf.DUMMYFUNCTION("""COMPUTED_VALUE"""),"M4")</f>
        <v>M4</v>
      </c>
      <c r="C11" s="19" t="str">
        <f>IFERROR(__xludf.DUMMYFUNCTION("""COMPUTED_VALUE"""),"18mm")</f>
        <v>18mm</v>
      </c>
      <c r="D11" s="20">
        <f>IFERROR(__xludf.DUMMYFUNCTION("""COMPUTED_VALUE"""),2.0)</f>
        <v>2</v>
      </c>
    </row>
    <row r="12">
      <c r="A12" s="18" t="s">
        <v>19</v>
      </c>
      <c r="B12" s="19" t="str">
        <f>IFERROR(__xludf.DUMMYFUNCTION("""COMPUTED_VALUE"""),"M4")</f>
        <v>M4</v>
      </c>
      <c r="C12" s="19" t="str">
        <f>IFERROR(__xludf.DUMMYFUNCTION("""COMPUTED_VALUE"""),"25mm")</f>
        <v>25mm</v>
      </c>
      <c r="D12" s="20">
        <f>IFERROR(__xludf.DUMMYFUNCTION("""COMPUTED_VALUE"""),19.0)</f>
        <v>19</v>
      </c>
    </row>
    <row r="13">
      <c r="A13" s="18" t="s">
        <v>20</v>
      </c>
      <c r="B13" s="19" t="str">
        <f>IFERROR(__xludf.DUMMYFUNCTION("""COMPUTED_VALUE"""),"M4")</f>
        <v>M4</v>
      </c>
      <c r="C13" s="19" t="str">
        <f>IFERROR(__xludf.DUMMYFUNCTION("""COMPUTED_VALUE"""),"40mm")</f>
        <v>40mm</v>
      </c>
      <c r="D13" s="20">
        <f>IFERROR(__xludf.DUMMYFUNCTION("""COMPUTED_VALUE"""),8.0)</f>
        <v>8</v>
      </c>
    </row>
    <row r="14">
      <c r="A14" s="18" t="s">
        <v>21</v>
      </c>
      <c r="B14" s="19" t="str">
        <f>IFERROR(__xludf.DUMMYFUNCTION("""COMPUTED_VALUE"""),"M5")</f>
        <v>M5</v>
      </c>
      <c r="C14" s="19" t="str">
        <f>IFERROR(__xludf.DUMMYFUNCTION("""COMPUTED_VALUE"""),"20mm")</f>
        <v>20mm</v>
      </c>
      <c r="D14" s="20">
        <f>IFERROR(__xludf.DUMMYFUNCTION("""COMPUTED_VALUE"""),26.0)</f>
        <v>26</v>
      </c>
    </row>
    <row r="15">
      <c r="A15" s="18" t="s">
        <v>22</v>
      </c>
      <c r="B15" s="19" t="str">
        <f>IFERROR(__xludf.DUMMYFUNCTION("""COMPUTED_VALUE"""),"M5")</f>
        <v>M5</v>
      </c>
      <c r="C15" s="19" t="str">
        <f>IFERROR(__xludf.DUMMYFUNCTION("""COMPUTED_VALUE"""),"40mm")</f>
        <v>40mm</v>
      </c>
      <c r="D15" s="20">
        <f>IFERROR(__xludf.DUMMYFUNCTION("""COMPUTED_VALUE"""),6.0)</f>
        <v>6</v>
      </c>
    </row>
    <row r="16">
      <c r="A16" s="18" t="s">
        <v>23</v>
      </c>
      <c r="B16" s="19" t="str">
        <f>IFERROR(__xludf.DUMMYFUNCTION("""COMPUTED_VALUE"""),"M5")</f>
        <v>M5</v>
      </c>
      <c r="C16" s="19" t="str">
        <f>IFERROR(__xludf.DUMMYFUNCTION("""COMPUTED_VALUE"""),"60mm")</f>
        <v>60mm</v>
      </c>
      <c r="D16" s="20">
        <f>IFERROR(__xludf.DUMMYFUNCTION("""COMPUTED_VALUE"""),2.0)</f>
        <v>2</v>
      </c>
    </row>
    <row r="17">
      <c r="A17" s="18" t="s">
        <v>24</v>
      </c>
      <c r="B17" s="19" t="str">
        <f>IFERROR(__xludf.DUMMYFUNCTION("""COMPUTED_VALUE"""),"M8")</f>
        <v>M8</v>
      </c>
      <c r="C17" s="19" t="str">
        <f>IFERROR(__xludf.DUMMYFUNCTION("""COMPUTED_VALUE"""),"60mm")</f>
        <v>60mm</v>
      </c>
      <c r="D17" s="20">
        <f>IFERROR(__xludf.DUMMYFUNCTION("""COMPUTED_VALUE"""),9.0)</f>
        <v>9</v>
      </c>
    </row>
    <row r="18">
      <c r="A18" s="21" t="s">
        <v>25</v>
      </c>
      <c r="B18" s="22" t="str">
        <f>IFERROR(__xludf.DUMMYFUNCTION("""COMPUTED_VALUE"""),"M8")</f>
        <v>M8</v>
      </c>
      <c r="C18" s="19" t="str">
        <f>IFERROR(__xludf.DUMMYFUNCTION("""COMPUTED_VALUE"""),"80mm")</f>
        <v>80mm</v>
      </c>
      <c r="D18" s="20">
        <f>IFERROR(__xludf.DUMMYFUNCTION("""COMPUTED_VALUE"""),2.0)</f>
        <v>2</v>
      </c>
    </row>
    <row r="19">
      <c r="A19" s="23"/>
      <c r="C19" s="16"/>
      <c r="D19" s="16"/>
    </row>
    <row r="20">
      <c r="A20" s="9" t="s">
        <v>26</v>
      </c>
      <c r="B20" s="10"/>
      <c r="C20" s="11"/>
    </row>
    <row r="21">
      <c r="A21" s="24" t="s">
        <v>9</v>
      </c>
      <c r="B21" s="25" t="str">
        <f>IFERROR(__xludf.DUMMYFUNCTION("QUERY('Raw - Bill of material'!E69:F90, ""select E, sum(F) group by E label sum(F) 'Amount'"",1)"),"Size")</f>
        <v>Size</v>
      </c>
      <c r="C21" s="26" t="str">
        <f>IFERROR(__xludf.DUMMYFUNCTION("""COMPUTED_VALUE"""),"Amount")</f>
        <v>Amount</v>
      </c>
    </row>
    <row r="22">
      <c r="A22" s="15" t="s">
        <v>27</v>
      </c>
      <c r="B22" s="16" t="str">
        <f>IFERROR(__xludf.DUMMYFUNCTION("""COMPUTED_VALUE"""),"M4")</f>
        <v>M4</v>
      </c>
      <c r="C22" s="17">
        <f>IFERROR(__xludf.DUMMYFUNCTION("""COMPUTED_VALUE"""),11.0)</f>
        <v>11</v>
      </c>
    </row>
    <row r="23">
      <c r="A23" s="18" t="s">
        <v>28</v>
      </c>
      <c r="B23" s="19" t="str">
        <f>IFERROR(__xludf.DUMMYFUNCTION("""COMPUTED_VALUE"""),"M5")</f>
        <v>M5</v>
      </c>
      <c r="C23" s="20">
        <f>IFERROR(__xludf.DUMMYFUNCTION("""COMPUTED_VALUE"""),14.0)</f>
        <v>14</v>
      </c>
    </row>
    <row r="24">
      <c r="A24" s="21" t="s">
        <v>29</v>
      </c>
      <c r="B24" s="22" t="str">
        <f>IFERROR(__xludf.DUMMYFUNCTION("""COMPUTED_VALUE"""),"M8")</f>
        <v>M8</v>
      </c>
      <c r="C24" s="27">
        <f>IFERROR(__xludf.DUMMYFUNCTION("""COMPUTED_VALUE"""),35.0)</f>
        <v>35</v>
      </c>
    </row>
    <row r="26">
      <c r="A26" s="9" t="s">
        <v>30</v>
      </c>
      <c r="B26" s="10"/>
      <c r="C26" s="10"/>
      <c r="D26" s="10"/>
      <c r="E26" s="11"/>
    </row>
    <row r="27">
      <c r="A27" s="24" t="s">
        <v>9</v>
      </c>
      <c r="B27" s="25" t="str">
        <f>IFERROR(__xludf.DUMMYFUNCTION("QUERY('Raw - Bill of material'!E93:H112, ""select E, F, G, sum(H) group by E, F, G label sum(H) 'Amount'"",1)"),"Outer diameter")</f>
        <v>Outer diameter</v>
      </c>
      <c r="C27" s="25" t="str">
        <f>IFERROR(__xludf.DUMMYFUNCTION("""COMPUTED_VALUE"""),"Inner diameter")</f>
        <v>Inner diameter</v>
      </c>
      <c r="D27" s="25" t="str">
        <f>IFERROR(__xludf.DUMMYFUNCTION("""COMPUTED_VALUE"""),"Thickness")</f>
        <v>Thickness</v>
      </c>
      <c r="E27" s="26" t="str">
        <f>IFERROR(__xludf.DUMMYFUNCTION("""COMPUTED_VALUE"""),"Amount")</f>
        <v>Amount</v>
      </c>
    </row>
    <row r="28">
      <c r="A28" s="15" t="s">
        <v>31</v>
      </c>
      <c r="B28" s="16" t="str">
        <f>IFERROR(__xludf.DUMMYFUNCTION("""COMPUTED_VALUE"""),"10mm")</f>
        <v>10mm</v>
      </c>
      <c r="C28" s="16" t="str">
        <f>IFERROR(__xludf.DUMMYFUNCTION("""COMPUTED_VALUE"""),"5mm")</f>
        <v>5mm</v>
      </c>
      <c r="D28" s="16" t="str">
        <f>IFERROR(__xludf.DUMMYFUNCTION("""COMPUTED_VALUE"""),"1mm")</f>
        <v>1mm</v>
      </c>
      <c r="E28" s="17">
        <f>IFERROR(__xludf.DUMMYFUNCTION("""COMPUTED_VALUE"""),13.0)</f>
        <v>13</v>
      </c>
    </row>
    <row r="29">
      <c r="A29" s="18" t="s">
        <v>32</v>
      </c>
      <c r="B29" s="19" t="str">
        <f>IFERROR(__xludf.DUMMYFUNCTION("""COMPUTED_VALUE"""),"15mm")</f>
        <v>15mm</v>
      </c>
      <c r="C29" s="19" t="str">
        <f>IFERROR(__xludf.DUMMYFUNCTION("""COMPUTED_VALUE"""),"5mm")</f>
        <v>5mm</v>
      </c>
      <c r="D29" s="19" t="str">
        <f>IFERROR(__xludf.DUMMYFUNCTION("""COMPUTED_VALUE"""),"1mm")</f>
        <v>1mm</v>
      </c>
      <c r="E29" s="20">
        <f>IFERROR(__xludf.DUMMYFUNCTION("""COMPUTED_VALUE"""),14.0)</f>
        <v>14</v>
      </c>
    </row>
    <row r="30">
      <c r="A30" s="18" t="s">
        <v>33</v>
      </c>
      <c r="B30" s="19" t="str">
        <f>IFERROR(__xludf.DUMMYFUNCTION("""COMPUTED_VALUE"""),"15mm")</f>
        <v>15mm</v>
      </c>
      <c r="C30" s="19" t="str">
        <f>IFERROR(__xludf.DUMMYFUNCTION("""COMPUTED_VALUE"""),"8.5mm")</f>
        <v>8.5mm</v>
      </c>
      <c r="D30" s="19" t="str">
        <f>IFERROR(__xludf.DUMMYFUNCTION("""COMPUTED_VALUE"""),"1.5mm")</f>
        <v>1.5mm</v>
      </c>
      <c r="E30" s="20">
        <f>IFERROR(__xludf.DUMMYFUNCTION("""COMPUTED_VALUE"""),24.0)</f>
        <v>24</v>
      </c>
      <c r="F30" s="28"/>
    </row>
    <row r="31">
      <c r="A31" s="18" t="s">
        <v>34</v>
      </c>
      <c r="B31" s="19" t="str">
        <f>IFERROR(__xludf.DUMMYFUNCTION("""COMPUTED_VALUE"""),"20mm")</f>
        <v>20mm</v>
      </c>
      <c r="C31" s="19" t="str">
        <f>IFERROR(__xludf.DUMMYFUNCTION("""COMPUTED_VALUE"""),"10mm")</f>
        <v>10mm</v>
      </c>
      <c r="D31" s="19" t="str">
        <f>IFERROR(__xludf.DUMMYFUNCTION("""COMPUTED_VALUE"""),"2mm")</f>
        <v>2mm</v>
      </c>
      <c r="E31" s="20">
        <f>IFERROR(__xludf.DUMMYFUNCTION("""COMPUTED_VALUE"""),27.0)</f>
        <v>27</v>
      </c>
    </row>
    <row r="32">
      <c r="A32" s="18" t="s">
        <v>35</v>
      </c>
      <c r="B32" s="19" t="str">
        <f>IFERROR(__xludf.DUMMYFUNCTION("""COMPUTED_VALUE"""),"8mm")</f>
        <v>8mm</v>
      </c>
      <c r="C32" s="19" t="str">
        <f>IFERROR(__xludf.DUMMYFUNCTION("""COMPUTED_VALUE"""),"4mm")</f>
        <v>4mm</v>
      </c>
      <c r="D32" s="19" t="str">
        <f>IFERROR(__xludf.DUMMYFUNCTION("""COMPUTED_VALUE"""),"0.5mm")</f>
        <v>0.5mm</v>
      </c>
      <c r="E32" s="20">
        <f>IFERROR(__xludf.DUMMYFUNCTION("""COMPUTED_VALUE"""),12.0)</f>
        <v>12</v>
      </c>
    </row>
    <row r="33">
      <c r="A33" s="18" t="s">
        <v>36</v>
      </c>
      <c r="B33" s="19" t="str">
        <f>IFERROR(__xludf.DUMMYFUNCTION("""COMPUTED_VALUE"""),"8mm")</f>
        <v>8mm</v>
      </c>
      <c r="C33" s="19" t="str">
        <f>IFERROR(__xludf.DUMMYFUNCTION("""COMPUTED_VALUE"""),"4mm")</f>
        <v>4mm</v>
      </c>
      <c r="D33" s="19" t="str">
        <f>IFERROR(__xludf.DUMMYFUNCTION("""COMPUTED_VALUE"""),"1mm")</f>
        <v>1mm</v>
      </c>
      <c r="E33" s="20">
        <f>IFERROR(__xludf.DUMMYFUNCTION("""COMPUTED_VALUE"""),4.0)</f>
        <v>4</v>
      </c>
    </row>
    <row r="34">
      <c r="A34" s="21" t="s">
        <v>37</v>
      </c>
      <c r="B34" s="22" t="str">
        <f>IFERROR(__xludf.DUMMYFUNCTION("""COMPUTED_VALUE"""),"9mm")</f>
        <v>9mm</v>
      </c>
      <c r="C34" s="22" t="str">
        <f>IFERROR(__xludf.DUMMYFUNCTION("""COMPUTED_VALUE"""),"4.5mm")</f>
        <v>4.5mm</v>
      </c>
      <c r="D34" s="22" t="str">
        <f>IFERROR(__xludf.DUMMYFUNCTION("""COMPUTED_VALUE"""),"1mm")</f>
        <v>1mm</v>
      </c>
      <c r="E34" s="27">
        <f>IFERROR(__xludf.DUMMYFUNCTION("""COMPUTED_VALUE"""),2.0)</f>
        <v>2</v>
      </c>
    </row>
    <row r="36">
      <c r="A36" s="9" t="s">
        <v>38</v>
      </c>
      <c r="B36" s="10"/>
      <c r="C36" s="11"/>
    </row>
    <row r="37">
      <c r="A37" s="12" t="s">
        <v>9</v>
      </c>
      <c r="B37" s="13" t="str">
        <f>IFERROR(__xludf.DUMMYFUNCTION("QUERY('Raw - Bill of material'!D115:E155, ""select D, sum(E) group by D label sum(E) 'Amount'"",1)"),"Type")</f>
        <v>Type</v>
      </c>
      <c r="C37" s="14" t="str">
        <f>IFERROR(__xludf.DUMMYFUNCTION("""COMPUTED_VALUE"""),"Amount")</f>
        <v>Amount</v>
      </c>
    </row>
    <row r="38">
      <c r="A38" s="18" t="s">
        <v>39</v>
      </c>
      <c r="B38" s="19" t="str">
        <f>IFERROR(__xludf.DUMMYFUNCTION("""COMPUTED_VALUE"""),"12V Fan")</f>
        <v>12V Fan</v>
      </c>
      <c r="C38" s="20">
        <f>IFERROR(__xludf.DUMMYFUNCTION("""COMPUTED_VALUE"""),2.0)</f>
        <v>2</v>
      </c>
    </row>
    <row r="39">
      <c r="A39" s="18" t="s">
        <v>40</v>
      </c>
      <c r="B39" s="19" t="str">
        <f>IFERROR(__xludf.DUMMYFUNCTION("""COMPUTED_VALUE"""),"12V power supply (UHP-200-12)")</f>
        <v>12V power supply (UHP-200-12)</v>
      </c>
      <c r="C39" s="20">
        <f>IFERROR(__xludf.DUMMYFUNCTION("""COMPUTED_VALUE"""),1.0)</f>
        <v>1</v>
      </c>
    </row>
    <row r="40">
      <c r="A40" s="18" t="s">
        <v>41</v>
      </c>
      <c r="B40" s="19" t="str">
        <f>IFERROR(__xludf.DUMMYFUNCTION("""COMPUTED_VALUE"""),"12V wires (black and red)")</f>
        <v>12V wires (black and red)</v>
      </c>
      <c r="C40" s="20"/>
    </row>
    <row r="41">
      <c r="A41" s="18" t="s">
        <v>42</v>
      </c>
      <c r="B41" s="19" t="str">
        <f>IFERROR(__xludf.DUMMYFUNCTION("""COMPUTED_VALUE"""),"220V power plug")</f>
        <v>220V power plug</v>
      </c>
      <c r="C41" s="20">
        <f>IFERROR(__xludf.DUMMYFUNCTION("""COMPUTED_VALUE"""),1.0)</f>
        <v>1</v>
      </c>
    </row>
    <row r="42">
      <c r="A42" s="18" t="s">
        <v>43</v>
      </c>
      <c r="B42" s="19" t="str">
        <f>IFERROR(__xludf.DUMMYFUNCTION("""COMPUTED_VALUE"""),"220V power socket")</f>
        <v>220V power socket</v>
      </c>
      <c r="C42" s="20">
        <f>IFERROR(__xludf.DUMMYFUNCTION("""COMPUTED_VALUE"""),1.0)</f>
        <v>1</v>
      </c>
    </row>
    <row r="43">
      <c r="A43" s="18" t="s">
        <v>44</v>
      </c>
      <c r="B43" s="19" t="str">
        <f>IFERROR(__xludf.DUMMYFUNCTION("""COMPUTED_VALUE"""),"220V/10A cable (red, blue and green/yellow)")</f>
        <v>220V/10A cable (red, blue and green/yellow)</v>
      </c>
      <c r="C43" s="20"/>
    </row>
    <row r="44">
      <c r="A44" s="18" t="s">
        <v>45</v>
      </c>
      <c r="B44" s="19" t="str">
        <f>IFERROR(__xludf.DUMMYFUNCTION("""COMPUTED_VALUE"""),"3-way Wago splicing connector (221-413)")</f>
        <v>3-way Wago splicing connector (221-413)</v>
      </c>
      <c r="C44" s="20">
        <f>IFERROR(__xludf.DUMMYFUNCTION("""COMPUTED_VALUE"""),3.0)</f>
        <v>3</v>
      </c>
    </row>
    <row r="45">
      <c r="A45" s="18" t="s">
        <v>46</v>
      </c>
      <c r="B45" s="19" t="str">
        <f>IFERROR(__xludf.DUMMYFUNCTION("""COMPUTED_VALUE"""),"AWG22 wire (red, blue, green and black)")</f>
        <v>AWG22 wire (red, blue, green and black)</v>
      </c>
      <c r="C45" s="20"/>
    </row>
    <row r="46">
      <c r="A46" s="18" t="s">
        <v>47</v>
      </c>
      <c r="B46" s="19" t="str">
        <f>IFERROR(__xludf.DUMMYFUNCTION("""COMPUTED_VALUE"""),"Arduino Uno")</f>
        <v>Arduino Uno</v>
      </c>
      <c r="C46" s="20">
        <f>IFERROR(__xludf.DUMMYFUNCTION("""COMPUTED_VALUE"""),1.0)</f>
        <v>1</v>
      </c>
    </row>
    <row r="47">
      <c r="A47" s="18" t="s">
        <v>48</v>
      </c>
      <c r="B47" s="19" t="str">
        <f>IFERROR(__xludf.DUMMYFUNCTION("""COMPUTED_VALUE"""),"Arduino Uno CNC Shield")</f>
        <v>Arduino Uno CNC Shield</v>
      </c>
      <c r="C47" s="20">
        <f>IFERROR(__xludf.DUMMYFUNCTION("""COMPUTED_VALUE"""),1.0)</f>
        <v>1</v>
      </c>
    </row>
    <row r="48">
      <c r="A48" s="18" t="s">
        <v>49</v>
      </c>
      <c r="B48" s="19" t="str">
        <f>IFERROR(__xludf.DUMMYFUNCTION("""COMPUTED_VALUE"""),"Bipolar stepper motor (Nema 17, no gear, 5mm shaft diameter)")</f>
        <v>Bipolar stepper motor (Nema 17, no gear, 5mm shaft diameter)</v>
      </c>
      <c r="C48" s="20">
        <f>IFERROR(__xludf.DUMMYFUNCTION("""COMPUTED_VALUE"""),1.0)</f>
        <v>1</v>
      </c>
    </row>
    <row r="49">
      <c r="A49" s="18" t="s">
        <v>50</v>
      </c>
      <c r="B49" s="19" t="str">
        <f>IFERROR(__xludf.DUMMYFUNCTION("""COMPUTED_VALUE"""),"C-GRID III contact housing, 2.54mm (1X2)")</f>
        <v>C-GRID III contact housing, 2.54mm (1X2)</v>
      </c>
      <c r="C49" s="20">
        <f>IFERROR(__xludf.DUMMYFUNCTION("""COMPUTED_VALUE"""),5.0)</f>
        <v>5</v>
      </c>
    </row>
    <row r="50">
      <c r="A50" s="18" t="s">
        <v>51</v>
      </c>
      <c r="B50" s="19" t="str">
        <f>IFERROR(__xludf.DUMMYFUNCTION("""COMPUTED_VALUE"""),"C-GRID III contact housing, 2.54mm (1X4)")</f>
        <v>C-GRID III contact housing, 2.54mm (1X4)</v>
      </c>
      <c r="C50" s="20">
        <f>IFERROR(__xludf.DUMMYFUNCTION("""COMPUTED_VALUE"""),4.0)</f>
        <v>4</v>
      </c>
    </row>
    <row r="51">
      <c r="A51" s="18" t="s">
        <v>52</v>
      </c>
      <c r="B51" s="19" t="str">
        <f>IFERROR(__xludf.DUMMYFUNCTION("""COMPUTED_VALUE"""),"C14 terminal")</f>
        <v>C14 terminal</v>
      </c>
      <c r="C51" s="20">
        <f>IFERROR(__xludf.DUMMYFUNCTION("""COMPUTED_VALUE"""),1.0)</f>
        <v>1</v>
      </c>
    </row>
    <row r="52">
      <c r="A52" s="18" t="s">
        <v>53</v>
      </c>
      <c r="B52" s="19" t="str">
        <f>IFERROR(__xludf.DUMMYFUNCTION("""COMPUTED_VALUE"""),"Crimp sleeve C-GRID III AWG 22/24")</f>
        <v>Crimp sleeve C-GRID III AWG 22/24</v>
      </c>
      <c r="C52" s="20">
        <f>IFERROR(__xludf.DUMMYFUNCTION("""COMPUTED_VALUE"""),26.0)</f>
        <v>26</v>
      </c>
    </row>
    <row r="53">
      <c r="A53" s="18" t="s">
        <v>54</v>
      </c>
      <c r="B53" s="19" t="str">
        <f>IFERROR(__xludf.DUMMYFUNCTION("""COMPUTED_VALUE"""),"DRB8825 stepper drivers")</f>
        <v>DRB8825 stepper drivers</v>
      </c>
      <c r="C53" s="20">
        <f>IFERROR(__xludf.DUMMYFUNCTION("""COMPUTED_VALUE"""),4.0)</f>
        <v>4</v>
      </c>
    </row>
    <row r="54">
      <c r="A54" s="18" t="s">
        <v>55</v>
      </c>
      <c r="B54" s="19" t="str">
        <f>IFERROR(__xludf.DUMMYFUNCTION("""COMPUTED_VALUE"""),"Emergency stop switch (KJD17B)")</f>
        <v>Emergency stop switch (KJD17B)</v>
      </c>
      <c r="C54" s="20">
        <f>IFERROR(__xludf.DUMMYFUNCTION("""COMPUTED_VALUE"""),1.0)</f>
        <v>1</v>
      </c>
    </row>
    <row r="55">
      <c r="A55" s="18" t="s">
        <v>56</v>
      </c>
      <c r="B55" s="19" t="str">
        <f>IFERROR(__xludf.DUMMYFUNCTION("""COMPUTED_VALUE"""),"Geared (19:1) bipolar stepper motor (Nema 17, 8mm shaft diameter)")</f>
        <v>Geared (19:1) bipolar stepper motor (Nema 17, 8mm shaft diameter)</v>
      </c>
      <c r="C55" s="20">
        <f>IFERROR(__xludf.DUMMYFUNCTION("""COMPUTED_VALUE"""),3.0)</f>
        <v>3</v>
      </c>
    </row>
    <row r="56">
      <c r="A56" s="18" t="s">
        <v>57</v>
      </c>
      <c r="B56" s="19" t="str">
        <f>IFERROR(__xludf.DUMMYFUNCTION("""COMPUTED_VALUE"""),"Jumpers")</f>
        <v>Jumpers</v>
      </c>
      <c r="C56" s="20">
        <f>IFERROR(__xludf.DUMMYFUNCTION("""COMPUTED_VALUE"""),6.0)</f>
        <v>6</v>
      </c>
    </row>
    <row r="57">
      <c r="A57" s="18" t="s">
        <v>58</v>
      </c>
      <c r="B57" s="19" t="str">
        <f>IFERROR(__xludf.DUMMYFUNCTION("""COMPUTED_VALUE"""),"Makita RT0700C (milling router)")</f>
        <v>Makita RT0700C (milling router)</v>
      </c>
      <c r="C57" s="20">
        <f>IFERROR(__xludf.DUMMYFUNCTION("""COMPUTED_VALUE"""),1.0)</f>
        <v>1</v>
      </c>
    </row>
    <row r="58">
      <c r="A58" s="18" t="s">
        <v>59</v>
      </c>
      <c r="B58" s="19" t="str">
        <f>IFERROR(__xludf.DUMMYFUNCTION("""COMPUTED_VALUE"""),"Microswitch")</f>
        <v>Microswitch</v>
      </c>
      <c r="C58" s="20">
        <f>IFERROR(__xludf.DUMMYFUNCTION("""COMPUTED_VALUE"""),5.0)</f>
        <v>5</v>
      </c>
    </row>
    <row r="59">
      <c r="A59" s="18" t="s">
        <v>60</v>
      </c>
      <c r="B59" s="19" t="str">
        <f>IFERROR(__xludf.DUMMYFUNCTION("""COMPUTED_VALUE"""),"Red LED")</f>
        <v>Red LED</v>
      </c>
      <c r="C59" s="20">
        <f>IFERROR(__xludf.DUMMYFUNCTION("""COMPUTED_VALUE"""),1.0)</f>
        <v>1</v>
      </c>
    </row>
    <row r="60">
      <c r="A60" s="18" t="s">
        <v>61</v>
      </c>
      <c r="B60" s="19" t="str">
        <f>IFERROR(__xludf.DUMMYFUNCTION("""COMPUTED_VALUE"""),"Ring terminal (M3)")</f>
        <v>Ring terminal (M3)</v>
      </c>
      <c r="C60" s="20">
        <f>IFERROR(__xludf.DUMMYFUNCTION("""COMPUTED_VALUE"""),4.0)</f>
        <v>4</v>
      </c>
    </row>
    <row r="61">
      <c r="A61" s="18" t="s">
        <v>62</v>
      </c>
      <c r="B61" s="19" t="str">
        <f>IFERROR(__xludf.DUMMYFUNCTION("""COMPUTED_VALUE"""),"Ring terminal (M4)")</f>
        <v>Ring terminal (M4)</v>
      </c>
      <c r="C61" s="20">
        <f>IFERROR(__xludf.DUMMYFUNCTION("""COMPUTED_VALUE"""),3.0)</f>
        <v>3</v>
      </c>
    </row>
    <row r="62">
      <c r="A62" s="18" t="s">
        <v>63</v>
      </c>
      <c r="B62" s="19" t="str">
        <f>IFERROR(__xludf.DUMMYFUNCTION("""COMPUTED_VALUE"""),"Spade connector (2.8mm)")</f>
        <v>Spade connector (2.8mm)</v>
      </c>
      <c r="C62" s="20">
        <f>IFERROR(__xludf.DUMMYFUNCTION("""COMPUTED_VALUE"""),10.0)</f>
        <v>10</v>
      </c>
    </row>
    <row r="63">
      <c r="A63" s="18" t="s">
        <v>64</v>
      </c>
      <c r="B63" s="19" t="str">
        <f>IFERROR(__xludf.DUMMYFUNCTION("""COMPUTED_VALUE"""),"Spade connector (4.8mm)")</f>
        <v>Spade connector (4.8mm)</v>
      </c>
      <c r="C63" s="20">
        <f>IFERROR(__xludf.DUMMYFUNCTION("""COMPUTED_VALUE"""),6.0)</f>
        <v>6</v>
      </c>
    </row>
    <row r="64">
      <c r="A64" s="18" t="s">
        <v>65</v>
      </c>
      <c r="B64" s="19" t="str">
        <f>IFERROR(__xludf.DUMMYFUNCTION("""COMPUTED_VALUE"""),"Spade connector (6.3mm)")</f>
        <v>Spade connector (6.3mm)</v>
      </c>
      <c r="C64" s="20">
        <f>IFERROR(__xludf.DUMMYFUNCTION("""COMPUTED_VALUE"""),4.0)</f>
        <v>4</v>
      </c>
    </row>
    <row r="65">
      <c r="A65" s="18" t="s">
        <v>66</v>
      </c>
      <c r="B65" s="19" t="str">
        <f>IFERROR(__xludf.DUMMYFUNCTION("""COMPUTED_VALUE"""),"USB A (male) to USB B (male)")</f>
        <v>USB A (male) to USB B (male)</v>
      </c>
      <c r="C65" s="20">
        <f>IFERROR(__xludf.DUMMYFUNCTION("""COMPUTED_VALUE"""),1.0)</f>
        <v>1</v>
      </c>
    </row>
    <row r="66">
      <c r="A66" s="29" t="s">
        <v>67</v>
      </c>
      <c r="B66" s="19" t="str">
        <f>IFERROR(__xludf.DUMMYFUNCTION("""COMPUTED_VALUE"""),"USB A PCB (female)")</f>
        <v>USB A PCB (female)</v>
      </c>
      <c r="C66" s="20">
        <f>IFERROR(__xludf.DUMMYFUNCTION("""COMPUTED_VALUE"""),1.0)</f>
        <v>1</v>
      </c>
    </row>
    <row r="67">
      <c r="A67" s="30" t="s">
        <v>68</v>
      </c>
      <c r="B67" s="31" t="s">
        <v>69</v>
      </c>
      <c r="C67" s="32">
        <v>1.0</v>
      </c>
    </row>
    <row r="69">
      <c r="A69" s="9" t="s">
        <v>70</v>
      </c>
      <c r="B69" s="10"/>
      <c r="C69" s="11"/>
      <c r="F69" s="33"/>
    </row>
    <row r="70">
      <c r="A70" s="34" t="s">
        <v>9</v>
      </c>
      <c r="B70" s="25" t="str">
        <f>IFERROR(__xludf.DUMMYFUNCTION("QUERY('Raw - Bill of material'!D159:E205, ""select D, sum(E) group by D label sum(E) 'Amount'"",1)"),"Type")</f>
        <v>Type</v>
      </c>
      <c r="C70" s="26" t="str">
        <f>IFERROR(__xludf.DUMMYFUNCTION("""COMPUTED_VALUE"""),"Amount")</f>
        <v>Amount</v>
      </c>
    </row>
    <row r="71">
      <c r="A71" s="35" t="s">
        <v>71</v>
      </c>
      <c r="B71" s="16" t="str">
        <f>IFERROR(__xludf.DUMMYFUNCTION("""COMPUTED_VALUE"""),"Back middle panel (large electronic box)")</f>
        <v>Back middle panel (large electronic box)</v>
      </c>
      <c r="C71" s="17">
        <f>IFERROR(__xludf.DUMMYFUNCTION("""COMPUTED_VALUE"""),1.0)</f>
        <v>1</v>
      </c>
    </row>
    <row r="72">
      <c r="A72" s="29" t="s">
        <v>72</v>
      </c>
      <c r="B72" s="19" t="str">
        <f>IFERROR(__xludf.DUMMYFUNCTION("""COMPUTED_VALUE"""),"Back middle panel (small electronic box)")</f>
        <v>Back middle panel (small electronic box)</v>
      </c>
      <c r="C72" s="20">
        <f>IFERROR(__xludf.DUMMYFUNCTION("""COMPUTED_VALUE"""),1.0)</f>
        <v>1</v>
      </c>
    </row>
    <row r="73">
      <c r="A73" s="29" t="s">
        <v>73</v>
      </c>
      <c r="B73" s="19" t="str">
        <f>IFERROR(__xludf.DUMMYFUNCTION("""COMPUTED_VALUE"""),"Back panel (large electronic box)")</f>
        <v>Back panel (large electronic box)</v>
      </c>
      <c r="C73" s="20">
        <f>IFERROR(__xludf.DUMMYFUNCTION("""COMPUTED_VALUE"""),1.0)</f>
        <v>1</v>
      </c>
    </row>
    <row r="74">
      <c r="A74" s="29" t="s">
        <v>74</v>
      </c>
      <c r="B74" s="19" t="str">
        <f>IFERROR(__xludf.DUMMYFUNCTION("""COMPUTED_VALUE"""),"Back panel (small electronic box)")</f>
        <v>Back panel (small electronic box)</v>
      </c>
      <c r="C74" s="20">
        <f>IFERROR(__xludf.DUMMYFUNCTION("""COMPUTED_VALUE"""),1.0)</f>
        <v>1</v>
      </c>
    </row>
    <row r="75">
      <c r="A75" s="29" t="s">
        <v>75</v>
      </c>
      <c r="B75" s="19" t="str">
        <f>IFERROR(__xludf.DUMMYFUNCTION("""COMPUTED_VALUE"""),"Cable chain mount")</f>
        <v>Cable chain mount</v>
      </c>
      <c r="C75" s="20">
        <f>IFERROR(__xludf.DUMMYFUNCTION("""COMPUTED_VALUE"""),1.0)</f>
        <v>1</v>
      </c>
    </row>
    <row r="76">
      <c r="A76" s="29" t="s">
        <v>76</v>
      </c>
      <c r="B76" s="19" t="str">
        <f>IFERROR(__xludf.DUMMYFUNCTION("""COMPUTED_VALUE"""),"Cable chain support")</f>
        <v>Cable chain support</v>
      </c>
      <c r="C76" s="20">
        <f>IFERROR(__xludf.DUMMYFUNCTION("""COMPUTED_VALUE"""),1.0)</f>
        <v>1</v>
      </c>
    </row>
    <row r="77">
      <c r="A77" s="29" t="s">
        <v>77</v>
      </c>
      <c r="B77" s="19" t="str">
        <f>IFERROR(__xludf.DUMMYFUNCTION("""COMPUTED_VALUE"""),"Carriage")</f>
        <v>Carriage</v>
      </c>
      <c r="C77" s="20">
        <f>IFERROR(__xludf.DUMMYFUNCTION("""COMPUTED_VALUE"""),1.0)</f>
        <v>1</v>
      </c>
    </row>
    <row r="78">
      <c r="A78" s="29" t="s">
        <v>78</v>
      </c>
      <c r="B78" s="19" t="str">
        <f>IFERROR(__xludf.DUMMYFUNCTION("""COMPUTED_VALUE"""),"End-stop mount (ordinary)")</f>
        <v>End-stop mount (ordinary)</v>
      </c>
      <c r="C78" s="20">
        <f>IFERROR(__xludf.DUMMYFUNCTION("""COMPUTED_VALUE"""),3.0)</f>
        <v>3</v>
      </c>
    </row>
    <row r="79">
      <c r="A79" s="29" t="s">
        <v>79</v>
      </c>
      <c r="B79" s="19" t="str">
        <f>IFERROR(__xludf.DUMMYFUNCTION("""COMPUTED_VALUE"""),"End-stop mount (tall)")</f>
        <v>End-stop mount (tall)</v>
      </c>
      <c r="C79" s="20">
        <f>IFERROR(__xludf.DUMMYFUNCTION("""COMPUTED_VALUE"""),1.0)</f>
        <v>1</v>
      </c>
    </row>
    <row r="80">
      <c r="A80" s="29" t="s">
        <v>80</v>
      </c>
      <c r="B80" s="19" t="str">
        <f>IFERROR(__xludf.DUMMYFUNCTION("""COMPUTED_VALUE"""),"End-stop mount (thick)")</f>
        <v>End-stop mount (thick)</v>
      </c>
      <c r="C80" s="20">
        <f>IFERROR(__xludf.DUMMYFUNCTION("""COMPUTED_VALUE"""),1.0)</f>
        <v>1</v>
      </c>
    </row>
    <row r="81">
      <c r="A81" s="29" t="s">
        <v>81</v>
      </c>
      <c r="B81" s="19" t="str">
        <f>IFERROR(__xludf.DUMMYFUNCTION("""COMPUTED_VALUE"""),"Flexible conduit strain relief (halves)")</f>
        <v>Flexible conduit strain relief (halves)</v>
      </c>
      <c r="C81" s="20">
        <f>IFERROR(__xludf.DUMMYFUNCTION("""COMPUTED_VALUE"""),8.0)</f>
        <v>8</v>
      </c>
    </row>
    <row r="82">
      <c r="A82" s="29" t="s">
        <v>82</v>
      </c>
      <c r="B82" s="19" t="str">
        <f>IFERROR(__xludf.DUMMYFUNCTION("""COMPUTED_VALUE"""),"Front middle panel (large electronic box)")</f>
        <v>Front middle panel (large electronic box)</v>
      </c>
      <c r="C82" s="20">
        <f>IFERROR(__xludf.DUMMYFUNCTION("""COMPUTED_VALUE"""),1.0)</f>
        <v>1</v>
      </c>
    </row>
    <row r="83">
      <c r="A83" s="29" t="s">
        <v>83</v>
      </c>
      <c r="B83" s="19" t="str">
        <f>IFERROR(__xludf.DUMMYFUNCTION("""COMPUTED_VALUE"""),"Front middle panel (small electronic box)")</f>
        <v>Front middle panel (small electronic box)</v>
      </c>
      <c r="C83" s="20">
        <f>IFERROR(__xludf.DUMMYFUNCTION("""COMPUTED_VALUE"""),1.0)</f>
        <v>1</v>
      </c>
    </row>
    <row r="84">
      <c r="A84" s="29" t="s">
        <v>84</v>
      </c>
      <c r="B84" s="19" t="str">
        <f>IFERROR(__xludf.DUMMYFUNCTION("""COMPUTED_VALUE"""),"Front panel (large electronic box)")</f>
        <v>Front panel (large electronic box)</v>
      </c>
      <c r="C84" s="20">
        <f>IFERROR(__xludf.DUMMYFUNCTION("""COMPUTED_VALUE"""),1.0)</f>
        <v>1</v>
      </c>
    </row>
    <row r="85">
      <c r="A85" s="29" t="s">
        <v>85</v>
      </c>
      <c r="B85" s="19" t="str">
        <f>IFERROR(__xludf.DUMMYFUNCTION("""COMPUTED_VALUE"""),"Front panel (small electronic box)")</f>
        <v>Front panel (small electronic box)</v>
      </c>
      <c r="C85" s="20">
        <f>IFERROR(__xludf.DUMMYFUNCTION("""COMPUTED_VALUE"""),1.0)</f>
        <v>1</v>
      </c>
    </row>
    <row r="86">
      <c r="A86" s="29" t="s">
        <v>86</v>
      </c>
      <c r="B86" s="19" t="str">
        <f>IFERROR(__xludf.DUMMYFUNCTION("""COMPUTED_VALUE"""),"Idler block")</f>
        <v>Idler block</v>
      </c>
      <c r="C86" s="20">
        <f>IFERROR(__xludf.DUMMYFUNCTION("""COMPUTED_VALUE"""),3.0)</f>
        <v>3</v>
      </c>
    </row>
    <row r="87">
      <c r="A87" s="29" t="s">
        <v>87</v>
      </c>
      <c r="B87" s="19" t="str">
        <f>IFERROR(__xludf.DUMMYFUNCTION("""COMPUTED_VALUE"""),"Left belt tension slider")</f>
        <v>Left belt tension slider</v>
      </c>
      <c r="C87" s="20">
        <f>IFERROR(__xludf.DUMMYFUNCTION("""COMPUTED_VALUE"""),1.0)</f>
        <v>1</v>
      </c>
    </row>
    <row r="88">
      <c r="A88" s="29" t="s">
        <v>88</v>
      </c>
      <c r="B88" s="19" t="str">
        <f>IFERROR(__xludf.DUMMYFUNCTION("""COMPUTED_VALUE"""),"Left belt tensioner")</f>
        <v>Left belt tensioner</v>
      </c>
      <c r="C88" s="20">
        <f>IFERROR(__xludf.DUMMYFUNCTION("""COMPUTED_VALUE"""),1.0)</f>
        <v>1</v>
      </c>
    </row>
    <row r="89">
      <c r="A89" s="29" t="s">
        <v>89</v>
      </c>
      <c r="B89" s="19" t="str">
        <f>IFERROR(__xludf.DUMMYFUNCTION("""COMPUTED_VALUE"""),"Left fixed belt tensioner")</f>
        <v>Left fixed belt tensioner</v>
      </c>
      <c r="C89" s="20">
        <f>IFERROR(__xludf.DUMMYFUNCTION("""COMPUTED_VALUE"""),1.0)</f>
        <v>1</v>
      </c>
    </row>
    <row r="90">
      <c r="A90" s="29" t="s">
        <v>90</v>
      </c>
      <c r="B90" s="19" t="str">
        <f>IFERROR(__xludf.DUMMYFUNCTION("""COMPUTED_VALUE"""),"Left side plate")</f>
        <v>Left side plate</v>
      </c>
      <c r="C90" s="20">
        <f>IFERROR(__xludf.DUMMYFUNCTION("""COMPUTED_VALUE"""),1.0)</f>
        <v>1</v>
      </c>
    </row>
    <row r="91">
      <c r="A91" s="29" t="s">
        <v>91</v>
      </c>
      <c r="B91" s="19" t="str">
        <f>IFERROR(__xludf.DUMMYFUNCTION("""COMPUTED_VALUE"""),"Left side plate lower back clip")</f>
        <v>Left side plate lower back clip</v>
      </c>
      <c r="C91" s="20">
        <f>IFERROR(__xludf.DUMMYFUNCTION("""COMPUTED_VALUE"""),1.0)</f>
        <v>1</v>
      </c>
    </row>
    <row r="92">
      <c r="A92" s="29" t="s">
        <v>92</v>
      </c>
      <c r="B92" s="19" t="str">
        <f>IFERROR(__xludf.DUMMYFUNCTION("""COMPUTED_VALUE"""),"Left side plate lower front clip")</f>
        <v>Left side plate lower front clip</v>
      </c>
      <c r="C92" s="20">
        <f>IFERROR(__xludf.DUMMYFUNCTION("""COMPUTED_VALUE"""),1.0)</f>
        <v>1</v>
      </c>
    </row>
    <row r="93">
      <c r="A93" s="29" t="s">
        <v>93</v>
      </c>
      <c r="B93" s="19" t="str">
        <f>IFERROR(__xludf.DUMMYFUNCTION("""COMPUTED_VALUE"""),"Left side plate upper front clip")</f>
        <v>Left side plate upper front clip</v>
      </c>
      <c r="C93" s="20">
        <f>IFERROR(__xludf.DUMMYFUNCTION("""COMPUTED_VALUE"""),1.0)</f>
        <v>1</v>
      </c>
    </row>
    <row r="94">
      <c r="A94" s="29" t="s">
        <v>94</v>
      </c>
      <c r="B94" s="19" t="str">
        <f>IFERROR(__xludf.DUMMYFUNCTION("""COMPUTED_VALUE"""),"Milling router bracket")</f>
        <v>Milling router bracket</v>
      </c>
      <c r="C94" s="20">
        <f>IFERROR(__xludf.DUMMYFUNCTION("""COMPUTED_VALUE"""),1.0)</f>
        <v>1</v>
      </c>
    </row>
    <row r="95">
      <c r="A95" s="29" t="s">
        <v>95</v>
      </c>
      <c r="B95" s="19" t="str">
        <f>IFERROR(__xludf.DUMMYFUNCTION("""COMPUTED_VALUE"""),"Rail support")</f>
        <v>Rail support</v>
      </c>
      <c r="C95" s="20">
        <f>IFERROR(__xludf.DUMMYFUNCTION("""COMPUTED_VALUE"""),3.0)</f>
        <v>3</v>
      </c>
    </row>
    <row r="96">
      <c r="A96" s="29" t="s">
        <v>96</v>
      </c>
      <c r="B96" s="19" t="str">
        <f>IFERROR(__xludf.DUMMYFUNCTION("""COMPUTED_VALUE"""),"Right belt tension slider")</f>
        <v>Right belt tension slider</v>
      </c>
      <c r="C96" s="20">
        <f>IFERROR(__xludf.DUMMYFUNCTION("""COMPUTED_VALUE"""),1.0)</f>
        <v>1</v>
      </c>
    </row>
    <row r="97">
      <c r="A97" s="29" t="s">
        <v>97</v>
      </c>
      <c r="B97" s="19" t="str">
        <f>IFERROR(__xludf.DUMMYFUNCTION("""COMPUTED_VALUE"""),"Right belt tensioner")</f>
        <v>Right belt tensioner</v>
      </c>
      <c r="C97" s="20">
        <f>IFERROR(__xludf.DUMMYFUNCTION("""COMPUTED_VALUE"""),2.0)</f>
        <v>2</v>
      </c>
    </row>
    <row r="98">
      <c r="A98" s="29" t="s">
        <v>98</v>
      </c>
      <c r="B98" s="19" t="str">
        <f>IFERROR(__xludf.DUMMYFUNCTION("""COMPUTED_VALUE"""),"Right fixed belt tensioner")</f>
        <v>Right fixed belt tensioner</v>
      </c>
      <c r="C98" s="20">
        <f>IFERROR(__xludf.DUMMYFUNCTION("""COMPUTED_VALUE"""),2.0)</f>
        <v>2</v>
      </c>
    </row>
    <row r="99">
      <c r="A99" s="29" t="s">
        <v>99</v>
      </c>
      <c r="B99" s="19" t="str">
        <f>IFERROR(__xludf.DUMMYFUNCTION("""COMPUTED_VALUE"""),"Right side plate")</f>
        <v>Right side plate</v>
      </c>
      <c r="C99" s="20">
        <f>IFERROR(__xludf.DUMMYFUNCTION("""COMPUTED_VALUE"""),1.0)</f>
        <v>1</v>
      </c>
    </row>
    <row r="100">
      <c r="A100" s="29" t="s">
        <v>100</v>
      </c>
      <c r="B100" s="19" t="str">
        <f>IFERROR(__xludf.DUMMYFUNCTION("""COMPUTED_VALUE"""),"Right side plate lower back clip")</f>
        <v>Right side plate lower back clip</v>
      </c>
      <c r="C100" s="20">
        <f>IFERROR(__xludf.DUMMYFUNCTION("""COMPUTED_VALUE"""),1.0)</f>
        <v>1</v>
      </c>
    </row>
    <row r="101">
      <c r="A101" s="29" t="s">
        <v>101</v>
      </c>
      <c r="B101" s="19" t="str">
        <f>IFERROR(__xludf.DUMMYFUNCTION("""COMPUTED_VALUE"""),"Right side plate lower front clip")</f>
        <v>Right side plate lower front clip</v>
      </c>
      <c r="C101" s="20">
        <f>IFERROR(__xludf.DUMMYFUNCTION("""COMPUTED_VALUE"""),1.0)</f>
        <v>1</v>
      </c>
    </row>
    <row r="102">
      <c r="A102" s="29" t="s">
        <v>102</v>
      </c>
      <c r="B102" s="19" t="str">
        <f>IFERROR(__xludf.DUMMYFUNCTION("""COMPUTED_VALUE"""),"Right side plate upper front clip")</f>
        <v>Right side plate upper front clip</v>
      </c>
      <c r="C102" s="20">
        <f>IFERROR(__xludf.DUMMYFUNCTION("""COMPUTED_VALUE"""),1.0)</f>
        <v>1</v>
      </c>
    </row>
    <row r="103">
      <c r="A103" s="29" t="s">
        <v>103</v>
      </c>
      <c r="B103" s="19" t="str">
        <f>IFERROR(__xludf.DUMMYFUNCTION("""COMPUTED_VALUE"""),"USB lock")</f>
        <v>USB lock</v>
      </c>
      <c r="C103" s="20">
        <f>IFERROR(__xludf.DUMMYFUNCTION("""COMPUTED_VALUE"""),1.0)</f>
        <v>1</v>
      </c>
    </row>
    <row r="104">
      <c r="A104" s="29" t="s">
        <v>104</v>
      </c>
      <c r="B104" s="19" t="str">
        <f>IFERROR(__xludf.DUMMYFUNCTION("""COMPUTED_VALUE"""),"Vaccum funnel")</f>
        <v>Vaccum funnel</v>
      </c>
      <c r="C104" s="20">
        <f>IFERROR(__xludf.DUMMYFUNCTION("""COMPUTED_VALUE"""),1.0)</f>
        <v>1</v>
      </c>
    </row>
    <row r="105">
      <c r="A105" s="29" t="s">
        <v>105</v>
      </c>
      <c r="B105" s="19" t="str">
        <f>IFERROR(__xludf.DUMMYFUNCTION("""COMPUTED_VALUE"""),"Vaccum hose ring")</f>
        <v>Vaccum hose ring</v>
      </c>
      <c r="C105" s="20">
        <f>IFERROR(__xludf.DUMMYFUNCTION("""COMPUTED_VALUE"""),1.0)</f>
        <v>1</v>
      </c>
    </row>
    <row r="106">
      <c r="A106" s="29" t="s">
        <v>106</v>
      </c>
      <c r="B106" s="19" t="str">
        <f>IFERROR(__xludf.DUMMYFUNCTION("""COMPUTED_VALUE"""),"Vertical carriage slider")</f>
        <v>Vertical carriage slider</v>
      </c>
      <c r="C106" s="20">
        <f>IFERROR(__xludf.DUMMYFUNCTION("""COMPUTED_VALUE"""),1.0)</f>
        <v>1</v>
      </c>
    </row>
    <row r="107">
      <c r="A107" s="29" t="s">
        <v>107</v>
      </c>
      <c r="B107" s="19" t="str">
        <f>IFERROR(__xludf.DUMMYFUNCTION("""COMPUTED_VALUE"""),"Wasteboard bracket")</f>
        <v>Wasteboard bracket</v>
      </c>
      <c r="C107" s="20">
        <f>IFERROR(__xludf.DUMMYFUNCTION("""COMPUTED_VALUE"""),7.0)</f>
        <v>7</v>
      </c>
    </row>
    <row r="108">
      <c r="A108" s="29" t="s">
        <v>108</v>
      </c>
      <c r="B108" s="19" t="str">
        <f>IFERROR(__xludf.DUMMYFUNCTION("""COMPUTED_VALUE"""),"X-axis cable chain mount")</f>
        <v>X-axis cable chain mount</v>
      </c>
      <c r="C108" s="20">
        <f>IFERROR(__xludf.DUMMYFUNCTION("""COMPUTED_VALUE"""),1.0)</f>
        <v>1</v>
      </c>
    </row>
    <row r="109">
      <c r="A109" s="29" t="s">
        <v>109</v>
      </c>
      <c r="B109" s="19" t="str">
        <f>IFERROR(__xludf.DUMMYFUNCTION("""COMPUTED_VALUE"""),"Z-axis end-stop trigger")</f>
        <v>Z-axis end-stop trigger</v>
      </c>
      <c r="C109" s="20">
        <f>IFERROR(__xludf.DUMMYFUNCTION("""COMPUTED_VALUE"""),1.0)</f>
        <v>1</v>
      </c>
    </row>
    <row r="110">
      <c r="A110" s="21" t="s">
        <v>110</v>
      </c>
      <c r="B110" s="22" t="str">
        <f>IFERROR(__xludf.DUMMYFUNCTION("""COMPUTED_VALUE"""),"Z-axis stepper motor mount")</f>
        <v>Z-axis stepper motor mount</v>
      </c>
      <c r="C110" s="27">
        <f>IFERROR(__xludf.DUMMYFUNCTION("""COMPUTED_VALUE"""),1.0)</f>
        <v>1</v>
      </c>
    </row>
    <row r="112">
      <c r="A112" s="9" t="s">
        <v>111</v>
      </c>
      <c r="B112" s="10"/>
      <c r="C112" s="11"/>
    </row>
    <row r="113">
      <c r="A113" s="36" t="s">
        <v>9</v>
      </c>
      <c r="B113" s="13" t="str">
        <f>IFERROR(__xludf.DUMMYFUNCTION("QUERY('Raw - Bill of material'!D208:E247, ""select D, sum(E) group by D label sum(E) 'Amount'"",1)"),"Type")</f>
        <v>Type</v>
      </c>
      <c r="C113" s="14" t="str">
        <f>IFERROR(__xludf.DUMMYFUNCTION("""COMPUTED_VALUE"""),"Amount")</f>
        <v>Amount</v>
      </c>
    </row>
    <row r="114">
      <c r="A114" s="35" t="s">
        <v>112</v>
      </c>
      <c r="B114" s="16" t="str">
        <f>IFERROR(__xludf.DUMMYFUNCTION("""COMPUTED_VALUE"""),"698zz bearing")</f>
        <v>698zz bearing</v>
      </c>
      <c r="C114" s="17">
        <f>IFERROR(__xludf.DUMMYFUNCTION("""COMPUTED_VALUE"""),18.0)</f>
        <v>18</v>
      </c>
    </row>
    <row r="115">
      <c r="A115" s="29" t="s">
        <v>113</v>
      </c>
      <c r="B115" s="19" t="str">
        <f>IFERROR(__xludf.DUMMYFUNCTION("""COMPUTED_VALUE"""),"Acme threaded rod (300 mm long, 8x8mm)")</f>
        <v>Acme threaded rod (300 mm long, 8x8mm)</v>
      </c>
      <c r="C115" s="20">
        <f>IFERROR(__xludf.DUMMYFUNCTION("""COMPUTED_VALUE"""),1.0)</f>
        <v>1</v>
      </c>
    </row>
    <row r="116">
      <c r="A116" s="29" t="s">
        <v>114</v>
      </c>
      <c r="B116" s="19" t="str">
        <f>IFERROR(__xludf.DUMMYFUNCTION("""COMPUTED_VALUE"""),"Acme threaded rod nut (8x8mm)")</f>
        <v>Acme threaded rod nut (8x8mm)</v>
      </c>
      <c r="C116" s="20">
        <f>IFERROR(__xludf.DUMMYFUNCTION("""COMPUTED_VALUE"""),1.0)</f>
        <v>1</v>
      </c>
    </row>
    <row r="117">
      <c r="A117" s="29" t="s">
        <v>115</v>
      </c>
      <c r="B117" s="19" t="str">
        <f>IFERROR(__xludf.DUMMYFUNCTION("""COMPUTED_VALUE"""),"Aluminium profiles (677x30x30 mm)")</f>
        <v>Aluminium profiles (677x30x30 mm)</v>
      </c>
      <c r="C117" s="20">
        <f>IFERROR(__xludf.DUMMYFUNCTION("""COMPUTED_VALUE"""),4.0)</f>
        <v>4</v>
      </c>
    </row>
    <row r="118">
      <c r="A118" s="29" t="s">
        <v>116</v>
      </c>
      <c r="B118" s="19" t="str">
        <f>IFERROR(__xludf.DUMMYFUNCTION("""COMPUTED_VALUE"""),"Aluminium profiles (803x30x30 mm)")</f>
        <v>Aluminium profiles (803x30x30 mm)</v>
      </c>
      <c r="C118" s="20">
        <f>IFERROR(__xludf.DUMMYFUNCTION("""COMPUTED_VALUE"""),3.0)</f>
        <v>3</v>
      </c>
      <c r="D118" s="37"/>
    </row>
    <row r="119">
      <c r="A119" s="29" t="s">
        <v>117</v>
      </c>
      <c r="B119" s="19" t="str">
        <f>IFERROR(__xludf.DUMMYFUNCTION("""COMPUTED_VALUE"""),"Aluminium profiles (80x30x30 mm)")</f>
        <v>Aluminium profiles (80x30x30 mm)</v>
      </c>
      <c r="C119" s="20">
        <f>IFERROR(__xludf.DUMMYFUNCTION("""COMPUTED_VALUE"""),8.0)</f>
        <v>8</v>
      </c>
      <c r="D119" s="38"/>
    </row>
    <row r="120">
      <c r="A120" s="29" t="s">
        <v>118</v>
      </c>
      <c r="B120" s="19" t="str">
        <f>IFERROR(__xludf.DUMMYFUNCTION("""COMPUTED_VALUE"""),"Aluminium profiles (900x30x30 mm)")</f>
        <v>Aluminium profiles (900x30x30 mm)</v>
      </c>
      <c r="C120" s="20">
        <f>IFERROR(__xludf.DUMMYFUNCTION("""COMPUTED_VALUE"""),4.0)</f>
        <v>4</v>
      </c>
    </row>
    <row r="121">
      <c r="A121" s="29" t="s">
        <v>119</v>
      </c>
      <c r="B121" s="19" t="str">
        <f>IFERROR(__xludf.DUMMYFUNCTION("""COMPUTED_VALUE"""),"Braided cable sleeve (20mm)")</f>
        <v>Braided cable sleeve (20mm)</v>
      </c>
      <c r="C121" s="20"/>
    </row>
    <row r="122">
      <c r="A122" s="29" t="s">
        <v>120</v>
      </c>
      <c r="B122" s="19" t="str">
        <f>IFERROR(__xludf.DUMMYFUNCTION("""COMPUTED_VALUE"""),"Cable chain (1m long, 30x15mm inner dimensions)")</f>
        <v>Cable chain (1m long, 30x15mm inner dimensions)</v>
      </c>
      <c r="C122" s="20">
        <f>IFERROR(__xludf.DUMMYFUNCTION("""COMPUTED_VALUE"""),2.0)</f>
        <v>2</v>
      </c>
    </row>
    <row r="123">
      <c r="A123" s="29" t="s">
        <v>121</v>
      </c>
      <c r="B123" s="19" t="str">
        <f>IFERROR(__xludf.DUMMYFUNCTION("""COMPUTED_VALUE"""),"Cable clip")</f>
        <v>Cable clip</v>
      </c>
      <c r="C123" s="20">
        <f>IFERROR(__xludf.DUMMYFUNCTION("""COMPUTED_VALUE"""),1.0)</f>
        <v>1</v>
      </c>
    </row>
    <row r="124">
      <c r="A124" s="29" t="s">
        <v>122</v>
      </c>
      <c r="B124" s="19" t="str">
        <f>IFERROR(__xludf.DUMMYFUNCTION("""COMPUTED_VALUE"""),"Cable ties")</f>
        <v>Cable ties</v>
      </c>
      <c r="C124" s="20"/>
    </row>
    <row r="125">
      <c r="A125" s="29" t="s">
        <v>123</v>
      </c>
      <c r="B125" s="19" t="str">
        <f>IFERROR(__xludf.DUMMYFUNCTION("""COMPUTED_VALUE"""),"Flat end mill")</f>
        <v>Flat end mill</v>
      </c>
      <c r="C125" s="20"/>
    </row>
    <row r="126">
      <c r="A126" s="29" t="s">
        <v>124</v>
      </c>
      <c r="B126" s="19" t="str">
        <f>IFERROR(__xludf.DUMMYFUNCTION("""COMPUTED_VALUE"""),"Flexible conduit")</f>
        <v>Flexible conduit</v>
      </c>
      <c r="C126" s="20"/>
    </row>
    <row r="127">
      <c r="A127" s="29" t="s">
        <v>125</v>
      </c>
      <c r="B127" s="19" t="str">
        <f>IFERROR(__xludf.DUMMYFUNCTION("""COMPUTED_VALUE"""),"GT2 belt (6mm belt width, 300mm long)")</f>
        <v>GT2 belt (6mm belt width, 300mm long)</v>
      </c>
      <c r="C127" s="20">
        <f>IFERROR(__xludf.DUMMYFUNCTION("""COMPUTED_VALUE"""),1.0)</f>
        <v>1</v>
      </c>
    </row>
    <row r="128">
      <c r="A128" s="29" t="s">
        <v>126</v>
      </c>
      <c r="B128" s="19" t="str">
        <f>IFERROR(__xludf.DUMMYFUNCTION("""COMPUTED_VALUE"""),"GT2 pulley (16 teeth, 5mm bore, 6mm belt width)")</f>
        <v>GT2 pulley (16 teeth, 5mm bore, 6mm belt width)</v>
      </c>
      <c r="C128" s="20">
        <f>IFERROR(__xludf.DUMMYFUNCTION("""COMPUTED_VALUE"""),1.0)</f>
        <v>1</v>
      </c>
    </row>
    <row r="129">
      <c r="A129" s="29" t="s">
        <v>127</v>
      </c>
      <c r="B129" s="19" t="str">
        <f>IFERROR(__xludf.DUMMYFUNCTION("""COMPUTED_VALUE"""),"GT2 pulley (60 teeth, 8mm bore, 6mm belt width)")</f>
        <v>GT2 pulley (60 teeth, 8mm bore, 6mm belt width)</v>
      </c>
      <c r="C129" s="20">
        <f>IFERROR(__xludf.DUMMYFUNCTION("""COMPUTED_VALUE"""),1.0)</f>
        <v>1</v>
      </c>
    </row>
    <row r="130">
      <c r="A130" s="29" t="s">
        <v>128</v>
      </c>
      <c r="B130" s="19" t="str">
        <f>IFERROR(__xludf.DUMMYFUNCTION("""COMPUTED_VALUE"""),"HTD5M belt (15mm width)")</f>
        <v>HTD5M belt (15mm width)</v>
      </c>
      <c r="C130" s="20"/>
    </row>
    <row r="131">
      <c r="A131" s="29" t="s">
        <v>129</v>
      </c>
      <c r="B131" s="19" t="str">
        <f>IFERROR(__xludf.DUMMYFUNCTION("""COMPUTED_VALUE"""),"HTD5M pulley (12 teeth, 8mm bore, 15mm belt width)")</f>
        <v>HTD5M pulley (12 teeth, 8mm bore, 15mm belt width)</v>
      </c>
      <c r="C131" s="20">
        <f>IFERROR(__xludf.DUMMYFUNCTION("""COMPUTED_VALUE"""),3.0)</f>
        <v>3</v>
      </c>
    </row>
    <row r="132">
      <c r="A132" s="29" t="s">
        <v>130</v>
      </c>
      <c r="B132" s="19" t="str">
        <f>IFERROR(__xludf.DUMMYFUNCTION("""COMPUTED_VALUE"""),"KFL08 rod bearing (8mm)")</f>
        <v>KFL08 rod bearing (8mm)</v>
      </c>
      <c r="C132" s="20">
        <f>IFERROR(__xludf.DUMMYFUNCTION("""COMPUTED_VALUE"""),2.0)</f>
        <v>2</v>
      </c>
    </row>
    <row r="133">
      <c r="A133" s="29" t="s">
        <v>131</v>
      </c>
      <c r="B133" s="19" t="str">
        <f>IFERROR(__xludf.DUMMYFUNCTION("""COMPUTED_VALUE"""),"MGN12H linear rail (200mm)")</f>
        <v>MGN12H linear rail (200mm)</v>
      </c>
      <c r="C133" s="20">
        <f>IFERROR(__xludf.DUMMYFUNCTION("""COMPUTED_VALUE"""),2.0)</f>
        <v>2</v>
      </c>
    </row>
    <row r="134">
      <c r="A134" s="29" t="s">
        <v>132</v>
      </c>
      <c r="B134" s="19" t="str">
        <f>IFERROR(__xludf.DUMMYFUNCTION("""COMPUTED_VALUE"""),"MGN12H linear rail (600mm)")</f>
        <v>MGN12H linear rail (600mm)</v>
      </c>
      <c r="C134" s="20">
        <f>IFERROR(__xludf.DUMMYFUNCTION("""COMPUTED_VALUE"""),4.0)</f>
        <v>4</v>
      </c>
    </row>
    <row r="135">
      <c r="A135" s="29" t="s">
        <v>133</v>
      </c>
      <c r="B135" s="19" t="str">
        <f>IFERROR(__xludf.DUMMYFUNCTION("""COMPUTED_VALUE"""),"MGN12H linear rail block")</f>
        <v>MGN12H linear rail block</v>
      </c>
      <c r="C135" s="20">
        <f>IFERROR(__xludf.DUMMYFUNCTION("""COMPUTED_VALUE"""),12.0)</f>
        <v>12</v>
      </c>
    </row>
    <row r="136">
      <c r="A136" s="29" t="s">
        <v>134</v>
      </c>
      <c r="B136" s="19" t="str">
        <f>IFERROR(__xludf.DUMMYFUNCTION("""COMPUTED_VALUE"""),"Masking tape")</f>
        <v>Masking tape</v>
      </c>
      <c r="C136" s="20">
        <f>IFERROR(__xludf.DUMMYFUNCTION("""COMPUTED_VALUE"""),1.0)</f>
        <v>1</v>
      </c>
    </row>
    <row r="137">
      <c r="A137" s="29" t="s">
        <v>135</v>
      </c>
      <c r="B137" s="19" t="str">
        <f>IFERROR(__xludf.DUMMYFUNCTION("""COMPUTED_VALUE"""),"Shrinking tubes")</f>
        <v>Shrinking tubes</v>
      </c>
      <c r="C137" s="20"/>
    </row>
    <row r="138">
      <c r="A138" s="29" t="s">
        <v>136</v>
      </c>
      <c r="B138" s="39" t="s">
        <v>137</v>
      </c>
      <c r="C138" s="40">
        <v>1.0</v>
      </c>
    </row>
    <row r="139">
      <c r="A139" s="30" t="s">
        <v>138</v>
      </c>
      <c r="B139" s="31" t="s">
        <v>139</v>
      </c>
      <c r="C139" s="32">
        <v>1.0</v>
      </c>
    </row>
    <row r="141">
      <c r="A141" s="9" t="s">
        <v>140</v>
      </c>
      <c r="B141" s="10"/>
      <c r="C141" s="10"/>
      <c r="D141" s="11"/>
    </row>
    <row r="142">
      <c r="A142" s="34" t="s">
        <v>9</v>
      </c>
      <c r="B142" s="25" t="str">
        <f>IFERROR(__xludf.DUMMYFUNCTION("QUERY('Raw - Bill of material'!E252:G256, ""select E, F, sum(G) group by E, F label sum(G) 'Amount'"",1)"),"Size")</f>
        <v>Size</v>
      </c>
      <c r="C142" s="25" t="str">
        <f>IFERROR(__xludf.DUMMYFUNCTION("""COMPUTED_VALUE"""),"Length")</f>
        <v>Length</v>
      </c>
      <c r="D142" s="26" t="str">
        <f>IFERROR(__xludf.DUMMYFUNCTION("""COMPUTED_VALUE"""),"Amount")</f>
        <v>Amount</v>
      </c>
    </row>
    <row r="143">
      <c r="A143" s="35" t="s">
        <v>141</v>
      </c>
      <c r="B143" s="16" t="str">
        <f>IFERROR(__xludf.DUMMYFUNCTION("""COMPUTED_VALUE"""),"M5")</f>
        <v>M5</v>
      </c>
      <c r="C143" s="16" t="str">
        <f>IFERROR(__xludf.DUMMYFUNCTION("""COMPUTED_VALUE"""),"140mm")</f>
        <v>140mm</v>
      </c>
      <c r="D143" s="17">
        <f>IFERROR(__xludf.DUMMYFUNCTION("""COMPUTED_VALUE"""),2.0)</f>
        <v>2</v>
      </c>
    </row>
    <row r="144">
      <c r="A144" s="29" t="s">
        <v>142</v>
      </c>
      <c r="B144" s="19" t="str">
        <f>IFERROR(__xludf.DUMMYFUNCTION("""COMPUTED_VALUE"""),"M8")</f>
        <v>M8</v>
      </c>
      <c r="C144" s="19" t="str">
        <f>IFERROR(__xludf.DUMMYFUNCTION("""COMPUTED_VALUE"""),"120mm")</f>
        <v>120mm</v>
      </c>
      <c r="D144" s="20">
        <f>IFERROR(__xludf.DUMMYFUNCTION("""COMPUTED_VALUE"""),8.0)</f>
        <v>8</v>
      </c>
    </row>
    <row r="145">
      <c r="A145" s="21" t="s">
        <v>143</v>
      </c>
      <c r="B145" s="22" t="str">
        <f>IFERROR(__xludf.DUMMYFUNCTION("""COMPUTED_VALUE"""),"M8")</f>
        <v>M8</v>
      </c>
      <c r="C145" s="22" t="str">
        <f>IFERROR(__xludf.DUMMYFUNCTION("""COMPUTED_VALUE"""),"717mm")</f>
        <v>717mm</v>
      </c>
      <c r="D145" s="27">
        <f>IFERROR(__xludf.DUMMYFUNCTION("""COMPUTED_VALUE"""),4.0)</f>
        <v>4</v>
      </c>
    </row>
  </sheetData>
  <mergeCells count="7">
    <mergeCell ref="A1:D1"/>
    <mergeCell ref="A20:C20"/>
    <mergeCell ref="A26:E26"/>
    <mergeCell ref="A36:C36"/>
    <mergeCell ref="A69:C69"/>
    <mergeCell ref="A112:C112"/>
    <mergeCell ref="A141:D141"/>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27.86"/>
    <col customWidth="1" min="3" max="3" width="21.14"/>
    <col customWidth="1" min="4" max="4" width="58.86"/>
    <col customWidth="1" min="5" max="5" width="14.71"/>
    <col customWidth="1" min="6" max="6" width="71.57"/>
    <col customWidth="1" min="7" max="7" width="122.14"/>
    <col customWidth="1" min="8" max="8" width="94.14"/>
    <col customWidth="1" min="9" max="9" width="71.86"/>
    <col customWidth="1" min="10" max="10" width="45.86"/>
  </cols>
  <sheetData>
    <row r="1">
      <c r="A1" s="41" t="s">
        <v>144</v>
      </c>
    </row>
    <row r="3">
      <c r="A3" s="9" t="s">
        <v>8</v>
      </c>
      <c r="B3" s="10"/>
      <c r="C3" s="10"/>
      <c r="D3" s="10"/>
      <c r="E3" s="10"/>
      <c r="F3" s="10"/>
      <c r="G3" s="10"/>
      <c r="H3" s="10"/>
      <c r="I3" s="10"/>
      <c r="J3" s="11"/>
    </row>
    <row r="4">
      <c r="A4" s="12" t="s">
        <v>9</v>
      </c>
      <c r="B4" s="42" t="s">
        <v>145</v>
      </c>
      <c r="C4" s="42" t="s">
        <v>146</v>
      </c>
      <c r="D4" s="42" t="s">
        <v>147</v>
      </c>
      <c r="E4" s="42" t="s">
        <v>148</v>
      </c>
      <c r="F4" s="42" t="s">
        <v>149</v>
      </c>
      <c r="G4" s="42" t="s">
        <v>150</v>
      </c>
      <c r="H4" s="42" t="s">
        <v>151</v>
      </c>
      <c r="I4" s="42" t="s">
        <v>152</v>
      </c>
      <c r="J4" s="43" t="s">
        <v>153</v>
      </c>
    </row>
    <row r="5">
      <c r="A5" s="44" t="str">
        <f t="array" ref="A5">INDEX('Aggregated - Bill of material'!$A$3:$A$18, MATCH(1,(E5='Aggregated - Bill of material'!$B$3:$B$18)*(F5='Aggregated - Bill of material'!$C$3:$C$18),0))</f>
        <v>S11</v>
      </c>
      <c r="B5" s="45" t="s">
        <v>154</v>
      </c>
      <c r="C5" s="45" t="s">
        <v>155</v>
      </c>
      <c r="D5" s="45" t="s">
        <v>8</v>
      </c>
      <c r="E5" s="45" t="s">
        <v>156</v>
      </c>
      <c r="F5" s="45" t="s">
        <v>157</v>
      </c>
      <c r="G5" s="45">
        <v>4.0</v>
      </c>
      <c r="H5" s="45" t="s">
        <v>158</v>
      </c>
      <c r="J5" s="46" t="s">
        <v>159</v>
      </c>
    </row>
    <row r="6">
      <c r="A6" s="44" t="str">
        <f t="array" ref="A6">INDEX('Aggregated - Bill of material'!$A$3:$A$18, MATCH(1,(E6='Aggregated - Bill of material'!$B$3:$B$18)*(F6='Aggregated - Bill of material'!$C$3:$C$18),0))</f>
        <v>S09</v>
      </c>
      <c r="B6" s="45" t="s">
        <v>154</v>
      </c>
      <c r="C6" s="45" t="s">
        <v>155</v>
      </c>
      <c r="D6" s="45" t="s">
        <v>8</v>
      </c>
      <c r="E6" s="45" t="s">
        <v>156</v>
      </c>
      <c r="F6" s="45" t="s">
        <v>160</v>
      </c>
      <c r="G6" s="45">
        <v>2.0</v>
      </c>
      <c r="H6" s="45" t="s">
        <v>161</v>
      </c>
      <c r="J6" s="46" t="s">
        <v>159</v>
      </c>
    </row>
    <row r="7">
      <c r="A7" s="44" t="str">
        <f t="array" ref="A7">INDEX('Aggregated - Bill of material'!$A$3:$A$18, MATCH(1,(E7='Aggregated - Bill of material'!$B$3:$B$18)*(F7='Aggregated - Bill of material'!$C$3:$C$18),0))</f>
        <v>S07</v>
      </c>
      <c r="B7" s="45" t="s">
        <v>154</v>
      </c>
      <c r="C7" s="45" t="s">
        <v>155</v>
      </c>
      <c r="D7" s="45" t="s">
        <v>8</v>
      </c>
      <c r="E7" s="45" t="s">
        <v>162</v>
      </c>
      <c r="F7" s="45" t="s">
        <v>163</v>
      </c>
      <c r="G7" s="45">
        <v>4.0</v>
      </c>
      <c r="H7" s="45" t="s">
        <v>164</v>
      </c>
      <c r="I7" s="45" t="s">
        <v>165</v>
      </c>
      <c r="J7" s="46" t="s">
        <v>159</v>
      </c>
    </row>
    <row r="8">
      <c r="A8" s="44" t="str">
        <f t="array" ref="A8">INDEX('Aggregated - Bill of material'!$A$3:$A$18, MATCH(1,(E8='Aggregated - Bill of material'!$B$3:$B$18)*(F8='Aggregated - Bill of material'!$C$3:$C$18),0))</f>
        <v>S10</v>
      </c>
      <c r="B8" s="45" t="s">
        <v>154</v>
      </c>
      <c r="C8" s="45" t="s">
        <v>155</v>
      </c>
      <c r="D8" s="45" t="s">
        <v>8</v>
      </c>
      <c r="E8" s="45" t="s">
        <v>156</v>
      </c>
      <c r="F8" s="45" t="s">
        <v>166</v>
      </c>
      <c r="G8" s="45">
        <v>4.0</v>
      </c>
      <c r="H8" s="45" t="s">
        <v>167</v>
      </c>
      <c r="J8" s="46" t="s">
        <v>159</v>
      </c>
    </row>
    <row r="9">
      <c r="A9" s="44" t="str">
        <f t="array" ref="A9">INDEX('Aggregated - Bill of material'!$A$3:$A$18, MATCH(1,(E9='Aggregated - Bill of material'!$B$3:$B$18)*(F9='Aggregated - Bill of material'!$C$3:$C$18),0))</f>
        <v>S02</v>
      </c>
      <c r="B9" s="45" t="s">
        <v>154</v>
      </c>
      <c r="C9" s="45" t="s">
        <v>155</v>
      </c>
      <c r="D9" s="45" t="s">
        <v>8</v>
      </c>
      <c r="E9" s="45" t="s">
        <v>162</v>
      </c>
      <c r="F9" s="45" t="s">
        <v>168</v>
      </c>
      <c r="G9" s="45">
        <v>4.0</v>
      </c>
      <c r="H9" s="45" t="s">
        <v>169</v>
      </c>
      <c r="J9" s="46" t="s">
        <v>159</v>
      </c>
    </row>
    <row r="10">
      <c r="A10" s="44" t="str">
        <f t="array" ref="A10">INDEX('Aggregated - Bill of material'!$A$3:$A$18, MATCH(1,(E10='Aggregated - Bill of material'!$B$3:$B$18)*(F10='Aggregated - Bill of material'!$C$3:$C$18),0))</f>
        <v>S11</v>
      </c>
      <c r="B10" s="45" t="s">
        <v>154</v>
      </c>
      <c r="C10" s="45" t="s">
        <v>170</v>
      </c>
      <c r="D10" s="45" t="s">
        <v>8</v>
      </c>
      <c r="E10" s="45" t="s">
        <v>156</v>
      </c>
      <c r="F10" s="45" t="s">
        <v>157</v>
      </c>
      <c r="G10" s="45">
        <v>4.0</v>
      </c>
      <c r="H10" s="45" t="s">
        <v>171</v>
      </c>
      <c r="J10" s="46" t="s">
        <v>159</v>
      </c>
    </row>
    <row r="11">
      <c r="A11" s="44" t="str">
        <f t="array" ref="A11">INDEX('Aggregated - Bill of material'!$A$3:$A$18, MATCH(1,(E11='Aggregated - Bill of material'!$B$3:$B$18)*(F11='Aggregated - Bill of material'!$C$3:$C$18),0))</f>
        <v>S10</v>
      </c>
      <c r="B11" s="45" t="s">
        <v>154</v>
      </c>
      <c r="C11" s="45" t="s">
        <v>170</v>
      </c>
      <c r="D11" s="45" t="s">
        <v>8</v>
      </c>
      <c r="E11" s="45" t="s">
        <v>156</v>
      </c>
      <c r="F11" s="45" t="s">
        <v>166</v>
      </c>
      <c r="G11" s="45">
        <v>4.0</v>
      </c>
      <c r="H11" s="45" t="s">
        <v>172</v>
      </c>
      <c r="J11" s="46" t="s">
        <v>159</v>
      </c>
    </row>
    <row r="12">
      <c r="A12" s="44" t="str">
        <f t="array" ref="A12">INDEX('Aggregated - Bill of material'!$A$3:$A$18, MATCH(1,(E12='Aggregated - Bill of material'!$B$3:$B$18)*(F12='Aggregated - Bill of material'!$C$3:$C$18),0))</f>
        <v>S02</v>
      </c>
      <c r="B12" s="45" t="s">
        <v>154</v>
      </c>
      <c r="C12" s="45" t="s">
        <v>170</v>
      </c>
      <c r="D12" s="45" t="s">
        <v>8</v>
      </c>
      <c r="E12" s="45" t="s">
        <v>162</v>
      </c>
      <c r="F12" s="45" t="s">
        <v>168</v>
      </c>
      <c r="G12" s="45">
        <v>4.0</v>
      </c>
      <c r="H12" s="45" t="s">
        <v>173</v>
      </c>
      <c r="J12" s="46" t="s">
        <v>159</v>
      </c>
    </row>
    <row r="13">
      <c r="A13" s="44" t="str">
        <f t="array" ref="A13">INDEX('Aggregated - Bill of material'!$A$3:$A$18, MATCH(1,(E13='Aggregated - Bill of material'!$B$3:$B$18)*(F13='Aggregated - Bill of material'!$C$3:$C$18),0))</f>
        <v>S07</v>
      </c>
      <c r="B13" s="45" t="s">
        <v>154</v>
      </c>
      <c r="C13" s="45" t="s">
        <v>170</v>
      </c>
      <c r="D13" s="45" t="s">
        <v>8</v>
      </c>
      <c r="E13" s="45" t="s">
        <v>162</v>
      </c>
      <c r="F13" s="45" t="s">
        <v>163</v>
      </c>
      <c r="G13" s="45">
        <v>4.0</v>
      </c>
      <c r="H13" s="45" t="s">
        <v>174</v>
      </c>
      <c r="J13" s="46" t="s">
        <v>159</v>
      </c>
    </row>
    <row r="14">
      <c r="A14" s="44" t="str">
        <f t="array" ref="A14">INDEX('Aggregated - Bill of material'!$A$3:$A$18, MATCH(1,(E14='Aggregated - Bill of material'!$B$3:$B$18)*(F14='Aggregated - Bill of material'!$C$3:$C$18),0))</f>
        <v>S01</v>
      </c>
      <c r="B14" s="45" t="s">
        <v>154</v>
      </c>
      <c r="C14" s="45" t="s">
        <v>175</v>
      </c>
      <c r="D14" s="45" t="s">
        <v>8</v>
      </c>
      <c r="E14" s="45" t="s">
        <v>176</v>
      </c>
      <c r="F14" s="45" t="s">
        <v>177</v>
      </c>
      <c r="G14" s="45">
        <v>14.0</v>
      </c>
      <c r="H14" s="45" t="s">
        <v>178</v>
      </c>
      <c r="J14" s="46" t="s">
        <v>159</v>
      </c>
    </row>
    <row r="15">
      <c r="A15" s="44" t="str">
        <f t="array" ref="A15">INDEX('Aggregated - Bill of material'!$A$3:$A$18, MATCH(1,(E15='Aggregated - Bill of material'!$B$3:$B$18)*(F15='Aggregated - Bill of material'!$C$3:$C$18),0))</f>
        <v>S10</v>
      </c>
      <c r="B15" s="45" t="s">
        <v>154</v>
      </c>
      <c r="C15" s="45" t="s">
        <v>175</v>
      </c>
      <c r="D15" s="45" t="s">
        <v>8</v>
      </c>
      <c r="E15" s="45" t="s">
        <v>156</v>
      </c>
      <c r="F15" s="45" t="s">
        <v>166</v>
      </c>
      <c r="G15" s="45">
        <v>2.0</v>
      </c>
      <c r="H15" s="45" t="s">
        <v>179</v>
      </c>
      <c r="I15" s="45"/>
      <c r="J15" s="46" t="s">
        <v>159</v>
      </c>
    </row>
    <row r="16">
      <c r="A16" s="44" t="str">
        <f t="array" ref="A16">INDEX('Aggregated - Bill of material'!$A$3:$A$18, MATCH(1,(E16='Aggregated - Bill of material'!$B$3:$B$18)*(F16='Aggregated - Bill of material'!$C$3:$C$18),0))</f>
        <v>S12</v>
      </c>
      <c r="B16" s="45" t="s">
        <v>154</v>
      </c>
      <c r="C16" s="45" t="s">
        <v>175</v>
      </c>
      <c r="D16" s="45" t="s">
        <v>8</v>
      </c>
      <c r="E16" s="45" t="s">
        <v>180</v>
      </c>
      <c r="F16" s="45" t="s">
        <v>177</v>
      </c>
      <c r="G16" s="45">
        <v>2.0</v>
      </c>
      <c r="H16" s="45" t="s">
        <v>181</v>
      </c>
      <c r="I16" s="45"/>
      <c r="J16" s="46" t="s">
        <v>159</v>
      </c>
    </row>
    <row r="17">
      <c r="A17" s="44" t="str">
        <f t="array" ref="A17">INDEX('Aggregated - Bill of material'!$A$3:$A$18, MATCH(1,(E17='Aggregated - Bill of material'!$B$3:$B$18)*(F17='Aggregated - Bill of material'!$C$3:$C$18),0))</f>
        <v>S12</v>
      </c>
      <c r="B17" s="45" t="s">
        <v>154</v>
      </c>
      <c r="C17" s="45" t="s">
        <v>175</v>
      </c>
      <c r="D17" s="45" t="s">
        <v>8</v>
      </c>
      <c r="E17" s="45" t="s">
        <v>180</v>
      </c>
      <c r="F17" s="45" t="s">
        <v>177</v>
      </c>
      <c r="G17" s="45">
        <v>2.0</v>
      </c>
      <c r="H17" s="45" t="s">
        <v>182</v>
      </c>
      <c r="I17" s="45"/>
      <c r="J17" s="46" t="s">
        <v>159</v>
      </c>
    </row>
    <row r="18">
      <c r="A18" s="44" t="str">
        <f t="array" ref="A18">INDEX('Aggregated - Bill of material'!$A$3:$A$18, MATCH(1,(E18='Aggregated - Bill of material'!$B$3:$B$18)*(F18='Aggregated - Bill of material'!$C$3:$C$18),0))</f>
        <v>S15</v>
      </c>
      <c r="B18" s="45" t="s">
        <v>154</v>
      </c>
      <c r="C18" s="45" t="s">
        <v>175</v>
      </c>
      <c r="D18" s="45" t="s">
        <v>8</v>
      </c>
      <c r="E18" s="45" t="s">
        <v>183</v>
      </c>
      <c r="F18" s="45" t="s">
        <v>184</v>
      </c>
      <c r="G18" s="45">
        <v>1.0</v>
      </c>
      <c r="H18" s="45" t="s">
        <v>185</v>
      </c>
      <c r="I18" s="45" t="s">
        <v>186</v>
      </c>
      <c r="J18" s="46" t="s">
        <v>159</v>
      </c>
    </row>
    <row r="19">
      <c r="A19" s="44" t="str">
        <f t="array" ref="A19">INDEX('Aggregated - Bill of material'!$A$3:$A$18, MATCH(1,(E19='Aggregated - Bill of material'!$B$3:$B$18)*(F19='Aggregated - Bill of material'!$C$3:$C$18),0))</f>
        <v>S12</v>
      </c>
      <c r="B19" s="45" t="s">
        <v>154</v>
      </c>
      <c r="C19" s="45" t="s">
        <v>175</v>
      </c>
      <c r="D19" s="45" t="s">
        <v>8</v>
      </c>
      <c r="E19" s="45" t="s">
        <v>180</v>
      </c>
      <c r="F19" s="45" t="s">
        <v>177</v>
      </c>
      <c r="G19" s="45">
        <v>2.0</v>
      </c>
      <c r="H19" s="45" t="s">
        <v>187</v>
      </c>
      <c r="I19" s="45" t="s">
        <v>188</v>
      </c>
      <c r="J19" s="46" t="s">
        <v>159</v>
      </c>
    </row>
    <row r="20">
      <c r="A20" s="44" t="str">
        <f t="array" ref="A20">INDEX('Aggregated - Bill of material'!$A$3:$A$18, MATCH(1,(E20='Aggregated - Bill of material'!$B$3:$B$18)*(F20='Aggregated - Bill of material'!$C$3:$C$18),0))</f>
        <v>S02</v>
      </c>
      <c r="B20" s="45" t="s">
        <v>154</v>
      </c>
      <c r="C20" s="45" t="s">
        <v>175</v>
      </c>
      <c r="D20" s="45" t="s">
        <v>8</v>
      </c>
      <c r="E20" s="45" t="s">
        <v>162</v>
      </c>
      <c r="F20" s="45" t="s">
        <v>168</v>
      </c>
      <c r="G20" s="45">
        <v>2.0</v>
      </c>
      <c r="H20" s="45" t="s">
        <v>189</v>
      </c>
      <c r="I20" s="45"/>
      <c r="J20" s="46" t="s">
        <v>159</v>
      </c>
    </row>
    <row r="21">
      <c r="A21" s="44" t="str">
        <f t="array" ref="A21">INDEX('Aggregated - Bill of material'!$A$3:$A$18, MATCH(1,(E21='Aggregated - Bill of material'!$B$3:$B$18)*(F21='Aggregated - Bill of material'!$C$3:$C$18),0))</f>
        <v>S03</v>
      </c>
      <c r="B21" s="45" t="s">
        <v>154</v>
      </c>
      <c r="C21" s="45" t="s">
        <v>175</v>
      </c>
      <c r="D21" s="45" t="s">
        <v>8</v>
      </c>
      <c r="E21" s="45" t="s">
        <v>162</v>
      </c>
      <c r="F21" s="45" t="s">
        <v>190</v>
      </c>
      <c r="G21" s="45">
        <v>24.0</v>
      </c>
      <c r="H21" s="45" t="s">
        <v>191</v>
      </c>
      <c r="I21" s="45"/>
      <c r="J21" s="46" t="s">
        <v>159</v>
      </c>
    </row>
    <row r="22">
      <c r="A22" s="44" t="str">
        <f t="array" ref="A22">INDEX('Aggregated - Bill of material'!$A$3:$A$18, MATCH(1,(E22='Aggregated - Bill of material'!$B$3:$B$18)*(F22='Aggregated - Bill of material'!$C$3:$C$18),0))</f>
        <v>S04</v>
      </c>
      <c r="B22" s="45" t="s">
        <v>154</v>
      </c>
      <c r="C22" s="45" t="s">
        <v>175</v>
      </c>
      <c r="D22" s="45" t="s">
        <v>8</v>
      </c>
      <c r="E22" s="45" t="s">
        <v>162</v>
      </c>
      <c r="F22" s="45" t="s">
        <v>177</v>
      </c>
      <c r="G22" s="45">
        <v>8.0</v>
      </c>
      <c r="H22" s="45" t="s">
        <v>192</v>
      </c>
      <c r="I22" s="45"/>
      <c r="J22" s="46" t="s">
        <v>159</v>
      </c>
    </row>
    <row r="23">
      <c r="A23" s="44" t="str">
        <f t="array" ref="A23">INDEX('Aggregated - Bill of material'!$A$3:$A$18, MATCH(1,(E23='Aggregated - Bill of material'!$B$3:$B$18)*(F23='Aggregated - Bill of material'!$C$3:$C$18),0))</f>
        <v>S12</v>
      </c>
      <c r="B23" s="45" t="s">
        <v>154</v>
      </c>
      <c r="C23" s="45" t="s">
        <v>175</v>
      </c>
      <c r="D23" s="45" t="s">
        <v>8</v>
      </c>
      <c r="E23" s="45" t="s">
        <v>180</v>
      </c>
      <c r="F23" s="45" t="s">
        <v>177</v>
      </c>
      <c r="G23" s="45">
        <v>2.0</v>
      </c>
      <c r="H23" s="45" t="s">
        <v>193</v>
      </c>
      <c r="I23" s="45"/>
      <c r="J23" s="46" t="s">
        <v>159</v>
      </c>
    </row>
    <row r="24">
      <c r="A24" s="44" t="str">
        <f t="array" ref="A24">INDEX('Aggregated - Bill of material'!$A$3:$A$18, MATCH(1,(E24='Aggregated - Bill of material'!$B$3:$B$18)*(F24='Aggregated - Bill of material'!$C$3:$C$18),0))</f>
        <v>S12</v>
      </c>
      <c r="B24" s="45" t="s">
        <v>154</v>
      </c>
      <c r="C24" s="45" t="s">
        <v>175</v>
      </c>
      <c r="D24" s="45" t="s">
        <v>8</v>
      </c>
      <c r="E24" s="45" t="s">
        <v>180</v>
      </c>
      <c r="F24" s="45" t="s">
        <v>177</v>
      </c>
      <c r="G24" s="45">
        <v>2.0</v>
      </c>
      <c r="H24" s="45" t="s">
        <v>194</v>
      </c>
      <c r="I24" s="45"/>
      <c r="J24" s="46" t="s">
        <v>159</v>
      </c>
    </row>
    <row r="25">
      <c r="A25" s="44" t="str">
        <f t="array" ref="A25">INDEX('Aggregated - Bill of material'!$A$3:$A$18, MATCH(1,(E25='Aggregated - Bill of material'!$B$3:$B$18)*(F25='Aggregated - Bill of material'!$C$3:$C$18),0))</f>
        <v>S12</v>
      </c>
      <c r="B25" s="45" t="s">
        <v>154</v>
      </c>
      <c r="C25" s="45" t="s">
        <v>175</v>
      </c>
      <c r="D25" s="45" t="s">
        <v>8</v>
      </c>
      <c r="E25" s="45" t="s">
        <v>180</v>
      </c>
      <c r="F25" s="45" t="s">
        <v>177</v>
      </c>
      <c r="G25" s="45">
        <v>2.0</v>
      </c>
      <c r="H25" s="45" t="s">
        <v>195</v>
      </c>
      <c r="I25" s="45"/>
      <c r="J25" s="46" t="s">
        <v>159</v>
      </c>
    </row>
    <row r="26">
      <c r="A26" s="44" t="str">
        <f t="array" ref="A26">INDEX('Aggregated - Bill of material'!$A$3:$A$18, MATCH(1,(E26='Aggregated - Bill of material'!$B$3:$B$18)*(F26='Aggregated - Bill of material'!$C$3:$C$18),0))</f>
        <v>S02</v>
      </c>
      <c r="B26" s="45" t="s">
        <v>154</v>
      </c>
      <c r="C26" s="45" t="s">
        <v>175</v>
      </c>
      <c r="D26" s="45" t="s">
        <v>8</v>
      </c>
      <c r="E26" s="45" t="s">
        <v>162</v>
      </c>
      <c r="F26" s="45" t="s">
        <v>168</v>
      </c>
      <c r="G26" s="45">
        <v>2.0</v>
      </c>
      <c r="H26" s="45" t="s">
        <v>196</v>
      </c>
      <c r="I26" s="45"/>
      <c r="J26" s="46" t="s">
        <v>159</v>
      </c>
    </row>
    <row r="27">
      <c r="A27" s="44" t="str">
        <f t="array" ref="A27">INDEX('Aggregated - Bill of material'!$A$3:$A$18, MATCH(1,(E27='Aggregated - Bill of material'!$B$3:$B$18)*(F27='Aggregated - Bill of material'!$C$3:$C$18),0))</f>
        <v>S12</v>
      </c>
      <c r="B27" s="45" t="s">
        <v>154</v>
      </c>
      <c r="C27" s="45" t="s">
        <v>175</v>
      </c>
      <c r="D27" s="45" t="s">
        <v>8</v>
      </c>
      <c r="E27" s="45" t="s">
        <v>180</v>
      </c>
      <c r="F27" s="45" t="s">
        <v>177</v>
      </c>
      <c r="G27" s="45">
        <v>2.0</v>
      </c>
      <c r="H27" s="45" t="s">
        <v>197</v>
      </c>
      <c r="I27" s="45"/>
      <c r="J27" s="46" t="s">
        <v>159</v>
      </c>
    </row>
    <row r="28">
      <c r="A28" s="44" t="str">
        <f t="array" ref="A28">INDEX('Aggregated - Bill of material'!$A$3:$A$18, MATCH(1,(E28='Aggregated - Bill of material'!$B$3:$B$18)*(F28='Aggregated - Bill of material'!$C$3:$C$18),0))</f>
        <v>S15</v>
      </c>
      <c r="B28" s="45" t="s">
        <v>154</v>
      </c>
      <c r="C28" s="45" t="s">
        <v>175</v>
      </c>
      <c r="D28" s="45" t="s">
        <v>8</v>
      </c>
      <c r="E28" s="45" t="s">
        <v>183</v>
      </c>
      <c r="F28" s="45" t="s">
        <v>184</v>
      </c>
      <c r="G28" s="45">
        <v>1.0</v>
      </c>
      <c r="H28" s="45" t="s">
        <v>197</v>
      </c>
      <c r="I28" s="45" t="s">
        <v>186</v>
      </c>
      <c r="J28" s="46" t="s">
        <v>159</v>
      </c>
    </row>
    <row r="29">
      <c r="A29" s="44" t="str">
        <f t="array" ref="A29">INDEX('Aggregated - Bill of material'!$A$3:$A$18, MATCH(1,(E29='Aggregated - Bill of material'!$B$3:$B$18)*(F29='Aggregated - Bill of material'!$C$3:$C$18),0))</f>
        <v>S12</v>
      </c>
      <c r="B29" s="45" t="s">
        <v>154</v>
      </c>
      <c r="C29" s="45" t="s">
        <v>175</v>
      </c>
      <c r="D29" s="45" t="s">
        <v>8</v>
      </c>
      <c r="E29" s="45" t="s">
        <v>180</v>
      </c>
      <c r="F29" s="45" t="s">
        <v>177</v>
      </c>
      <c r="G29" s="45">
        <v>2.0</v>
      </c>
      <c r="H29" s="45" t="s">
        <v>197</v>
      </c>
      <c r="I29" s="45"/>
      <c r="J29" s="46" t="s">
        <v>159</v>
      </c>
    </row>
    <row r="30">
      <c r="A30" s="44" t="str">
        <f t="array" ref="A30">INDEX('Aggregated - Bill of material'!$A$3:$A$18, MATCH(1,(E30='Aggregated - Bill of material'!$B$3:$B$18)*(F30='Aggregated - Bill of material'!$C$3:$C$18),0))</f>
        <v>S12</v>
      </c>
      <c r="B30" s="45" t="s">
        <v>154</v>
      </c>
      <c r="C30" s="45" t="s">
        <v>175</v>
      </c>
      <c r="D30" s="45" t="s">
        <v>8</v>
      </c>
      <c r="E30" s="45" t="s">
        <v>180</v>
      </c>
      <c r="F30" s="45" t="s">
        <v>177</v>
      </c>
      <c r="G30" s="45">
        <v>2.0</v>
      </c>
      <c r="H30" s="45" t="s">
        <v>198</v>
      </c>
      <c r="I30" s="45"/>
      <c r="J30" s="46" t="s">
        <v>159</v>
      </c>
    </row>
    <row r="31">
      <c r="A31" s="44" t="str">
        <f t="array" ref="A31">INDEX('Aggregated - Bill of material'!$A$3:$A$18, MATCH(1,(E31='Aggregated - Bill of material'!$B$3:$B$18)*(F31='Aggregated - Bill of material'!$C$3:$C$18),0))</f>
        <v>S03</v>
      </c>
      <c r="B31" s="45" t="s">
        <v>154</v>
      </c>
      <c r="C31" s="45" t="s">
        <v>175</v>
      </c>
      <c r="D31" s="45" t="s">
        <v>8</v>
      </c>
      <c r="E31" s="45" t="s">
        <v>162</v>
      </c>
      <c r="F31" s="45" t="s">
        <v>190</v>
      </c>
      <c r="G31" s="45">
        <v>24.0</v>
      </c>
      <c r="H31" s="45" t="s">
        <v>199</v>
      </c>
      <c r="I31" s="45"/>
      <c r="J31" s="46" t="s">
        <v>159</v>
      </c>
    </row>
    <row r="32">
      <c r="A32" s="44" t="str">
        <f t="array" ref="A32">INDEX('Aggregated - Bill of material'!$A$3:$A$18, MATCH(1,(E32='Aggregated - Bill of material'!$B$3:$B$18)*(F32='Aggregated - Bill of material'!$C$3:$C$18),0))</f>
        <v>S04</v>
      </c>
      <c r="B32" s="45" t="s">
        <v>154</v>
      </c>
      <c r="C32" s="45" t="s">
        <v>175</v>
      </c>
      <c r="D32" s="45" t="s">
        <v>8</v>
      </c>
      <c r="E32" s="45" t="s">
        <v>162</v>
      </c>
      <c r="F32" s="45" t="s">
        <v>177</v>
      </c>
      <c r="G32" s="45">
        <v>8.0</v>
      </c>
      <c r="H32" s="45" t="s">
        <v>200</v>
      </c>
      <c r="I32" s="45"/>
      <c r="J32" s="46" t="s">
        <v>159</v>
      </c>
    </row>
    <row r="33">
      <c r="A33" s="44" t="str">
        <f t="array" ref="A33">INDEX('Aggregated - Bill of material'!$A$3:$A$18, MATCH(1,(E33='Aggregated - Bill of material'!$B$3:$B$18)*(F33='Aggregated - Bill of material'!$C$3:$C$18),0))</f>
        <v>S06</v>
      </c>
      <c r="B33" s="45" t="s">
        <v>154</v>
      </c>
      <c r="C33" s="45" t="s">
        <v>201</v>
      </c>
      <c r="D33" s="45" t="s">
        <v>8</v>
      </c>
      <c r="E33" s="45" t="s">
        <v>162</v>
      </c>
      <c r="F33" s="45" t="s">
        <v>157</v>
      </c>
      <c r="G33" s="45">
        <v>4.0</v>
      </c>
      <c r="H33" s="45" t="s">
        <v>202</v>
      </c>
      <c r="I33" s="45"/>
      <c r="J33" s="46" t="s">
        <v>159</v>
      </c>
    </row>
    <row r="34">
      <c r="A34" s="44" t="str">
        <f t="array" ref="A34">INDEX('Aggregated - Bill of material'!$A$3:$A$18, MATCH(1,(E34='Aggregated - Bill of material'!$B$3:$B$18)*(F34='Aggregated - Bill of material'!$C$3:$C$18),0))</f>
        <v>S15</v>
      </c>
      <c r="B34" s="45" t="s">
        <v>154</v>
      </c>
      <c r="C34" s="45" t="s">
        <v>201</v>
      </c>
      <c r="D34" s="45" t="s">
        <v>8</v>
      </c>
      <c r="E34" s="45" t="s">
        <v>183</v>
      </c>
      <c r="F34" s="45" t="s">
        <v>184</v>
      </c>
      <c r="G34" s="45">
        <v>2.0</v>
      </c>
      <c r="H34" s="45" t="s">
        <v>203</v>
      </c>
      <c r="I34" s="45" t="s">
        <v>204</v>
      </c>
      <c r="J34" s="46" t="s">
        <v>159</v>
      </c>
    </row>
    <row r="35">
      <c r="A35" s="44" t="str">
        <f t="array" ref="A35">INDEX('Aggregated - Bill of material'!$A$3:$A$18, MATCH(1,(E35='Aggregated - Bill of material'!$B$3:$B$18)*(F35='Aggregated - Bill of material'!$C$3:$C$18),0))</f>
        <v>S15</v>
      </c>
      <c r="B35" s="45" t="s">
        <v>154</v>
      </c>
      <c r="C35" s="45" t="s">
        <v>201</v>
      </c>
      <c r="D35" s="45" t="s">
        <v>8</v>
      </c>
      <c r="E35" s="45" t="s">
        <v>183</v>
      </c>
      <c r="F35" s="45" t="s">
        <v>184</v>
      </c>
      <c r="G35" s="45">
        <v>2.0</v>
      </c>
      <c r="H35" s="45" t="s">
        <v>205</v>
      </c>
      <c r="I35" s="45" t="s">
        <v>204</v>
      </c>
      <c r="J35" s="46" t="s">
        <v>159</v>
      </c>
    </row>
    <row r="36">
      <c r="A36" s="44" t="str">
        <f t="array" ref="A36">INDEX('Aggregated - Bill of material'!$A$3:$A$18, MATCH(1,(E36='Aggregated - Bill of material'!$B$3:$B$18)*(F36='Aggregated - Bill of material'!$C$3:$C$18),0))</f>
        <v>S06</v>
      </c>
      <c r="B36" s="45" t="s">
        <v>154</v>
      </c>
      <c r="C36" s="45" t="s">
        <v>201</v>
      </c>
      <c r="D36" s="45" t="s">
        <v>8</v>
      </c>
      <c r="E36" s="45" t="s">
        <v>162</v>
      </c>
      <c r="F36" s="45" t="s">
        <v>157</v>
      </c>
      <c r="G36" s="45">
        <v>4.0</v>
      </c>
      <c r="H36" s="45" t="s">
        <v>206</v>
      </c>
      <c r="I36" s="45"/>
      <c r="J36" s="46" t="s">
        <v>159</v>
      </c>
    </row>
    <row r="37">
      <c r="A37" s="44" t="str">
        <f t="array" ref="A37">INDEX('Aggregated - Bill of material'!$A$3:$A$18, MATCH(1,(E37='Aggregated - Bill of material'!$B$3:$B$18)*(F37='Aggregated - Bill of material'!$C$3:$C$18),0))</f>
        <v>S10</v>
      </c>
      <c r="B37" s="45" t="s">
        <v>154</v>
      </c>
      <c r="C37" s="45" t="s">
        <v>201</v>
      </c>
      <c r="D37" s="45" t="s">
        <v>8</v>
      </c>
      <c r="E37" s="45" t="s">
        <v>156</v>
      </c>
      <c r="F37" s="45" t="s">
        <v>166</v>
      </c>
      <c r="G37" s="45">
        <v>2.0</v>
      </c>
      <c r="H37" s="45" t="s">
        <v>207</v>
      </c>
      <c r="I37" s="45"/>
      <c r="J37" s="46" t="s">
        <v>159</v>
      </c>
    </row>
    <row r="38">
      <c r="A38" s="44" t="str">
        <f t="array" ref="A38">INDEX('Aggregated - Bill of material'!$A$3:$A$18, MATCH(1,(E38='Aggregated - Bill of material'!$B$3:$B$18)*(F38='Aggregated - Bill of material'!$C$3:$C$18),0))</f>
        <v>S14</v>
      </c>
      <c r="B38" s="45" t="s">
        <v>154</v>
      </c>
      <c r="C38" s="45" t="s">
        <v>201</v>
      </c>
      <c r="D38" s="45" t="s">
        <v>8</v>
      </c>
      <c r="E38" s="45" t="s">
        <v>180</v>
      </c>
      <c r="F38" s="45" t="s">
        <v>184</v>
      </c>
      <c r="G38" s="45">
        <v>1.0</v>
      </c>
      <c r="H38" s="45" t="s">
        <v>208</v>
      </c>
      <c r="I38" s="45" t="s">
        <v>209</v>
      </c>
      <c r="J38" s="46" t="s">
        <v>159</v>
      </c>
    </row>
    <row r="39">
      <c r="A39" s="44" t="str">
        <f t="array" ref="A39">INDEX('Aggregated - Bill of material'!$A$3:$A$18, MATCH(1,(E39='Aggregated - Bill of material'!$B$3:$B$18)*(F39='Aggregated - Bill of material'!$C$3:$C$18),0))</f>
        <v>S14</v>
      </c>
      <c r="B39" s="45" t="s">
        <v>154</v>
      </c>
      <c r="C39" s="45" t="s">
        <v>201</v>
      </c>
      <c r="D39" s="45" t="s">
        <v>8</v>
      </c>
      <c r="E39" s="45" t="s">
        <v>180</v>
      </c>
      <c r="F39" s="45" t="s">
        <v>184</v>
      </c>
      <c r="G39" s="45">
        <v>1.0</v>
      </c>
      <c r="H39" s="45" t="s">
        <v>210</v>
      </c>
      <c r="I39" s="45" t="s">
        <v>209</v>
      </c>
      <c r="J39" s="46" t="s">
        <v>159</v>
      </c>
    </row>
    <row r="40">
      <c r="A40" s="44" t="str">
        <f t="array" ref="A40">INDEX('Aggregated - Bill of material'!$A$3:$A$18, MATCH(1,(E40='Aggregated - Bill of material'!$B$3:$B$18)*(F40='Aggregated - Bill of material'!$C$3:$C$18),0))</f>
        <v>S15</v>
      </c>
      <c r="B40" s="45" t="s">
        <v>154</v>
      </c>
      <c r="C40" s="45" t="s">
        <v>201</v>
      </c>
      <c r="D40" s="45" t="s">
        <v>8</v>
      </c>
      <c r="E40" s="45" t="s">
        <v>183</v>
      </c>
      <c r="F40" s="45" t="s">
        <v>184</v>
      </c>
      <c r="G40" s="45">
        <v>1.0</v>
      </c>
      <c r="H40" s="45" t="s">
        <v>211</v>
      </c>
      <c r="I40" s="45" t="s">
        <v>204</v>
      </c>
      <c r="J40" s="46" t="s">
        <v>159</v>
      </c>
    </row>
    <row r="41">
      <c r="A41" s="44" t="str">
        <f t="array" ref="A41">INDEX('Aggregated - Bill of material'!$A$3:$A$18, MATCH(1,(E41='Aggregated - Bill of material'!$B$3:$B$18)*(F41='Aggregated - Bill of material'!$C$3:$C$18),0))</f>
        <v>S12</v>
      </c>
      <c r="B41" s="45" t="s">
        <v>154</v>
      </c>
      <c r="C41" s="45" t="s">
        <v>201</v>
      </c>
      <c r="D41" s="45" t="s">
        <v>8</v>
      </c>
      <c r="E41" s="45" t="s">
        <v>180</v>
      </c>
      <c r="F41" s="45" t="s">
        <v>177</v>
      </c>
      <c r="G41" s="45">
        <v>2.0</v>
      </c>
      <c r="H41" s="45" t="s">
        <v>211</v>
      </c>
      <c r="I41" s="45"/>
      <c r="J41" s="46" t="s">
        <v>159</v>
      </c>
    </row>
    <row r="42">
      <c r="A42" s="44" t="str">
        <f t="array" ref="A42">INDEX('Aggregated - Bill of material'!$A$3:$A$18, MATCH(1,(E42='Aggregated - Bill of material'!$B$3:$B$18)*(F42='Aggregated - Bill of material'!$C$3:$C$18),0))</f>
        <v>S12</v>
      </c>
      <c r="B42" s="45" t="s">
        <v>154</v>
      </c>
      <c r="C42" s="45" t="s">
        <v>201</v>
      </c>
      <c r="D42" s="45" t="s">
        <v>8</v>
      </c>
      <c r="E42" s="45" t="s">
        <v>180</v>
      </c>
      <c r="F42" s="45" t="s">
        <v>177</v>
      </c>
      <c r="G42" s="45">
        <v>2.0</v>
      </c>
      <c r="H42" s="45" t="s">
        <v>212</v>
      </c>
      <c r="I42" s="45"/>
      <c r="J42" s="46" t="s">
        <v>159</v>
      </c>
    </row>
    <row r="43">
      <c r="A43" s="44" t="str">
        <f t="array" ref="A43">INDEX('Aggregated - Bill of material'!$A$3:$A$18, MATCH(1,(E43='Aggregated - Bill of material'!$B$3:$B$18)*(F43='Aggregated - Bill of material'!$C$3:$C$18),0))</f>
        <v>S02</v>
      </c>
      <c r="B43" s="45" t="s">
        <v>154</v>
      </c>
      <c r="C43" s="45" t="s">
        <v>201</v>
      </c>
      <c r="D43" s="45" t="s">
        <v>8</v>
      </c>
      <c r="E43" s="45" t="s">
        <v>162</v>
      </c>
      <c r="F43" s="45" t="s">
        <v>168</v>
      </c>
      <c r="G43" s="45">
        <v>2.0</v>
      </c>
      <c r="H43" s="45" t="s">
        <v>213</v>
      </c>
      <c r="I43" s="45"/>
      <c r="J43" s="46" t="s">
        <v>159</v>
      </c>
    </row>
    <row r="44">
      <c r="A44" s="44" t="str">
        <f t="array" ref="A44">INDEX('Aggregated - Bill of material'!$A$3:$A$18, MATCH(1,(E44='Aggregated - Bill of material'!$B$3:$B$18)*(F44='Aggregated - Bill of material'!$C$3:$C$18),0))</f>
        <v>S03</v>
      </c>
      <c r="B44" s="45" t="s">
        <v>154</v>
      </c>
      <c r="C44" s="45" t="s">
        <v>201</v>
      </c>
      <c r="D44" s="45" t="s">
        <v>8</v>
      </c>
      <c r="E44" s="45" t="s">
        <v>162</v>
      </c>
      <c r="F44" s="45" t="s">
        <v>190</v>
      </c>
      <c r="G44" s="45">
        <v>24.0</v>
      </c>
      <c r="H44" s="45" t="s">
        <v>214</v>
      </c>
      <c r="I44" s="45"/>
      <c r="J44" s="46" t="s">
        <v>159</v>
      </c>
    </row>
    <row r="45">
      <c r="A45" s="44" t="str">
        <f t="array" ref="A45">INDEX('Aggregated - Bill of material'!$A$3:$A$18, MATCH(1,(E45='Aggregated - Bill of material'!$B$3:$B$18)*(F45='Aggregated - Bill of material'!$C$3:$C$18),0))</f>
        <v>S03</v>
      </c>
      <c r="B45" s="45" t="s">
        <v>154</v>
      </c>
      <c r="C45" s="45" t="s">
        <v>201</v>
      </c>
      <c r="D45" s="45" t="s">
        <v>8</v>
      </c>
      <c r="E45" s="45" t="s">
        <v>162</v>
      </c>
      <c r="F45" s="45" t="s">
        <v>190</v>
      </c>
      <c r="G45" s="45">
        <v>24.0</v>
      </c>
      <c r="H45" s="45" t="s">
        <v>215</v>
      </c>
      <c r="I45" s="45"/>
      <c r="J45" s="46" t="s">
        <v>159</v>
      </c>
    </row>
    <row r="46">
      <c r="A46" s="44" t="str">
        <f t="array" ref="A46">INDEX('Aggregated - Bill of material'!$A$3:$A$18, MATCH(1,(E46='Aggregated - Bill of material'!$B$3:$B$18)*(F46='Aggregated - Bill of material'!$C$3:$C$18),0))</f>
        <v>S13</v>
      </c>
      <c r="B46" s="45" t="s">
        <v>154</v>
      </c>
      <c r="C46" s="45" t="s">
        <v>201</v>
      </c>
      <c r="D46" s="45" t="s">
        <v>8</v>
      </c>
      <c r="E46" s="45" t="s">
        <v>180</v>
      </c>
      <c r="F46" s="45" t="s">
        <v>157</v>
      </c>
      <c r="G46" s="45">
        <v>2.0</v>
      </c>
      <c r="H46" s="45" t="s">
        <v>216</v>
      </c>
      <c r="I46" s="45"/>
      <c r="J46" s="46" t="s">
        <v>159</v>
      </c>
    </row>
    <row r="47">
      <c r="A47" s="44" t="str">
        <f t="array" ref="A47">INDEX('Aggregated - Bill of material'!$A$3:$A$18, MATCH(1,(E47='Aggregated - Bill of material'!$B$3:$B$18)*(F47='Aggregated - Bill of material'!$C$3:$C$18),0))</f>
        <v>S02</v>
      </c>
      <c r="B47" s="45" t="s">
        <v>154</v>
      </c>
      <c r="C47" s="45" t="s">
        <v>201</v>
      </c>
      <c r="D47" s="45" t="s">
        <v>8</v>
      </c>
      <c r="E47" s="45" t="s">
        <v>162</v>
      </c>
      <c r="F47" s="45" t="s">
        <v>168</v>
      </c>
      <c r="G47" s="45">
        <v>2.0</v>
      </c>
      <c r="H47" s="45" t="s">
        <v>217</v>
      </c>
      <c r="I47" s="45"/>
      <c r="J47" s="46" t="s">
        <v>159</v>
      </c>
    </row>
    <row r="48">
      <c r="A48" s="44" t="str">
        <f t="array" ref="A48">INDEX('Aggregated - Bill of material'!$A$3:$A$18, MATCH(1,(E48='Aggregated - Bill of material'!$B$3:$B$18)*(F48='Aggregated - Bill of material'!$C$3:$C$18),0))</f>
        <v>S10</v>
      </c>
      <c r="B48" s="45" t="s">
        <v>154</v>
      </c>
      <c r="C48" s="45" t="s">
        <v>201</v>
      </c>
      <c r="D48" s="45" t="s">
        <v>8</v>
      </c>
      <c r="E48" s="45" t="s">
        <v>156</v>
      </c>
      <c r="F48" s="45" t="s">
        <v>166</v>
      </c>
      <c r="G48" s="45">
        <v>2.0</v>
      </c>
      <c r="H48" s="45" t="s">
        <v>218</v>
      </c>
      <c r="I48" s="45"/>
      <c r="J48" s="46" t="s">
        <v>159</v>
      </c>
    </row>
    <row r="49">
      <c r="A49" s="44" t="str">
        <f t="array" ref="A49">INDEX('Aggregated - Bill of material'!$A$3:$A$18, MATCH(1,(E49='Aggregated - Bill of material'!$B$3:$B$18)*(F49='Aggregated - Bill of material'!$C$3:$C$18),0))</f>
        <v>S10</v>
      </c>
      <c r="B49" s="45" t="s">
        <v>154</v>
      </c>
      <c r="C49" s="45" t="s">
        <v>201</v>
      </c>
      <c r="D49" s="45" t="s">
        <v>8</v>
      </c>
      <c r="E49" s="45" t="s">
        <v>156</v>
      </c>
      <c r="F49" s="45" t="s">
        <v>166</v>
      </c>
      <c r="G49" s="45">
        <v>2.0</v>
      </c>
      <c r="H49" s="45" t="s">
        <v>219</v>
      </c>
      <c r="I49" s="45"/>
      <c r="J49" s="46" t="s">
        <v>159</v>
      </c>
    </row>
    <row r="50">
      <c r="A50" s="44" t="str">
        <f t="array" ref="A50">INDEX('Aggregated - Bill of material'!$A$3:$A$18, MATCH(1,(E50='Aggregated - Bill of material'!$B$3:$B$18)*(F50='Aggregated - Bill of material'!$C$3:$C$18),0))</f>
        <v>S10</v>
      </c>
      <c r="B50" s="45" t="s">
        <v>154</v>
      </c>
      <c r="C50" s="45" t="s">
        <v>201</v>
      </c>
      <c r="D50" s="45" t="s">
        <v>8</v>
      </c>
      <c r="E50" s="45" t="s">
        <v>156</v>
      </c>
      <c r="F50" s="45" t="s">
        <v>166</v>
      </c>
      <c r="G50" s="45">
        <v>3.0</v>
      </c>
      <c r="H50" s="45" t="s">
        <v>220</v>
      </c>
      <c r="I50" s="45"/>
      <c r="J50" s="46" t="s">
        <v>159</v>
      </c>
    </row>
    <row r="51">
      <c r="A51" s="44" t="str">
        <f t="array" ref="A51">INDEX('Aggregated - Bill of material'!$A$3:$A$18, MATCH(1,(E51='Aggregated - Bill of material'!$B$3:$B$18)*(F51='Aggregated - Bill of material'!$C$3:$C$18),0))</f>
        <v>S08</v>
      </c>
      <c r="B51" s="45" t="s">
        <v>154</v>
      </c>
      <c r="C51" s="45" t="s">
        <v>201</v>
      </c>
      <c r="D51" s="45" t="s">
        <v>8</v>
      </c>
      <c r="E51" s="45" t="s">
        <v>162</v>
      </c>
      <c r="F51" s="45" t="s">
        <v>221</v>
      </c>
      <c r="G51" s="45">
        <v>4.0</v>
      </c>
      <c r="H51" s="45" t="s">
        <v>222</v>
      </c>
      <c r="I51" s="45"/>
      <c r="J51" s="46" t="s">
        <v>159</v>
      </c>
    </row>
    <row r="52">
      <c r="A52" s="44" t="str">
        <f t="array" ref="A52">INDEX('Aggregated - Bill of material'!$A$3:$A$18, MATCH(1,(E52='Aggregated - Bill of material'!$B$3:$B$18)*(F52='Aggregated - Bill of material'!$C$3:$C$18),0))</f>
        <v>S16</v>
      </c>
      <c r="B52" s="45" t="s">
        <v>154</v>
      </c>
      <c r="C52" s="45" t="s">
        <v>201</v>
      </c>
      <c r="D52" s="45" t="s">
        <v>8</v>
      </c>
      <c r="E52" s="45" t="s">
        <v>183</v>
      </c>
      <c r="F52" s="45" t="s">
        <v>223</v>
      </c>
      <c r="G52" s="45">
        <v>2.0</v>
      </c>
      <c r="H52" s="45" t="s">
        <v>224</v>
      </c>
      <c r="I52" s="45"/>
      <c r="J52" s="46" t="s">
        <v>159</v>
      </c>
    </row>
    <row r="53">
      <c r="A53" s="44" t="str">
        <f t="array" ref="A53">INDEX('Aggregated - Bill of material'!$A$3:$A$18, MATCH(1,(E53='Aggregated - Bill of material'!$B$3:$B$18)*(F53='Aggregated - Bill of material'!$C$3:$C$18),0))</f>
        <v>S12</v>
      </c>
      <c r="B53" s="45" t="s">
        <v>154</v>
      </c>
      <c r="C53" s="45" t="s">
        <v>201</v>
      </c>
      <c r="D53" s="45" t="s">
        <v>8</v>
      </c>
      <c r="E53" s="45" t="s">
        <v>180</v>
      </c>
      <c r="F53" s="45" t="s">
        <v>177</v>
      </c>
      <c r="G53" s="45">
        <v>2.0</v>
      </c>
      <c r="H53" s="45" t="s">
        <v>225</v>
      </c>
      <c r="I53" s="45"/>
      <c r="J53" s="46" t="s">
        <v>159</v>
      </c>
    </row>
    <row r="54">
      <c r="A54" s="44" t="str">
        <f t="array" ref="A54">INDEX('Aggregated - Bill of material'!$A$3:$A$18, MATCH(1,(E54='Aggregated - Bill of material'!$B$3:$B$18)*(F54='Aggregated - Bill of material'!$C$3:$C$18),0))</f>
        <v>S12</v>
      </c>
      <c r="B54" s="45" t="s">
        <v>154</v>
      </c>
      <c r="C54" s="45" t="s">
        <v>201</v>
      </c>
      <c r="D54" s="45" t="s">
        <v>8</v>
      </c>
      <c r="E54" s="45" t="s">
        <v>180</v>
      </c>
      <c r="F54" s="45" t="s">
        <v>177</v>
      </c>
      <c r="G54" s="45">
        <v>2.0</v>
      </c>
      <c r="H54" s="45" t="s">
        <v>226</v>
      </c>
      <c r="I54" s="45"/>
      <c r="J54" s="46" t="s">
        <v>159</v>
      </c>
    </row>
    <row r="55">
      <c r="A55" s="44" t="str">
        <f t="array" ref="A55">INDEX('Aggregated - Bill of material'!$A$3:$A$18, MATCH(1,(E55='Aggregated - Bill of material'!$B$3:$B$18)*(F55='Aggregated - Bill of material'!$C$3:$C$18),0))</f>
        <v>S05</v>
      </c>
      <c r="B55" s="45" t="s">
        <v>154</v>
      </c>
      <c r="C55" s="45" t="s">
        <v>201</v>
      </c>
      <c r="D55" s="45" t="s">
        <v>8</v>
      </c>
      <c r="E55" s="45" t="s">
        <v>162</v>
      </c>
      <c r="F55" s="45" t="s">
        <v>166</v>
      </c>
      <c r="G55" s="45">
        <v>8.0</v>
      </c>
      <c r="H55" s="47" t="s">
        <v>227</v>
      </c>
      <c r="I55" s="45"/>
      <c r="J55" s="46" t="s">
        <v>159</v>
      </c>
    </row>
    <row r="56">
      <c r="A56" s="44" t="str">
        <f t="array" ref="A56">INDEX('Aggregated - Bill of material'!$A$3:$A$18, MATCH(1,(E56='Aggregated - Bill of material'!$B$3:$B$18)*(F56='Aggregated - Bill of material'!$C$3:$C$18),0))</f>
        <v>S05</v>
      </c>
      <c r="B56" s="45" t="s">
        <v>154</v>
      </c>
      <c r="C56" s="45" t="s">
        <v>201</v>
      </c>
      <c r="D56" s="45" t="s">
        <v>8</v>
      </c>
      <c r="E56" s="45" t="s">
        <v>162</v>
      </c>
      <c r="F56" s="45" t="s">
        <v>166</v>
      </c>
      <c r="G56" s="45">
        <v>8.0</v>
      </c>
      <c r="H56" s="47" t="s">
        <v>228</v>
      </c>
      <c r="I56" s="45"/>
      <c r="J56" s="46" t="s">
        <v>159</v>
      </c>
    </row>
    <row r="57">
      <c r="A57" s="44" t="str">
        <f t="array" ref="A57">INDEX('Aggregated - Bill of material'!$A$3:$A$18, MATCH(1,(E57='Aggregated - Bill of material'!$B$3:$B$18)*(F57='Aggregated - Bill of material'!$C$3:$C$18),0))</f>
        <v>S06</v>
      </c>
      <c r="B57" s="45" t="s">
        <v>154</v>
      </c>
      <c r="C57" s="45" t="s">
        <v>201</v>
      </c>
      <c r="D57" s="45" t="s">
        <v>8</v>
      </c>
      <c r="E57" s="45" t="s">
        <v>162</v>
      </c>
      <c r="F57" s="45" t="s">
        <v>157</v>
      </c>
      <c r="G57" s="45">
        <v>4.0</v>
      </c>
      <c r="H57" s="45" t="s">
        <v>229</v>
      </c>
      <c r="I57" s="45"/>
      <c r="J57" s="46" t="s">
        <v>159</v>
      </c>
    </row>
    <row r="58">
      <c r="A58" s="44" t="str">
        <f t="array" ref="A58">INDEX('Aggregated - Bill of material'!$A$3:$A$18, MATCH(1,(E58='Aggregated - Bill of material'!$B$3:$B$18)*(F58='Aggregated - Bill of material'!$C$3:$C$18),0))</f>
        <v>S15</v>
      </c>
      <c r="B58" s="45" t="s">
        <v>154</v>
      </c>
      <c r="C58" s="45" t="s">
        <v>201</v>
      </c>
      <c r="D58" s="45" t="s">
        <v>8</v>
      </c>
      <c r="E58" s="45" t="s">
        <v>183</v>
      </c>
      <c r="F58" s="45" t="s">
        <v>184</v>
      </c>
      <c r="G58" s="45">
        <v>2.0</v>
      </c>
      <c r="H58" s="45" t="s">
        <v>230</v>
      </c>
      <c r="I58" s="45" t="s">
        <v>204</v>
      </c>
      <c r="J58" s="46" t="s">
        <v>159</v>
      </c>
    </row>
    <row r="59">
      <c r="A59" s="44" t="str">
        <f t="array" ref="A59">INDEX('Aggregated - Bill of material'!$A$3:$A$18, MATCH(1,(E59='Aggregated - Bill of material'!$B$3:$B$18)*(F59='Aggregated - Bill of material'!$C$3:$C$18),0))</f>
        <v>S02</v>
      </c>
      <c r="B59" s="45" t="s">
        <v>154</v>
      </c>
      <c r="C59" s="45" t="s">
        <v>201</v>
      </c>
      <c r="D59" s="45" t="s">
        <v>8</v>
      </c>
      <c r="E59" s="45" t="s">
        <v>162</v>
      </c>
      <c r="F59" s="45" t="s">
        <v>168</v>
      </c>
      <c r="G59" s="45">
        <v>2.0</v>
      </c>
      <c r="H59" s="45" t="s">
        <v>231</v>
      </c>
      <c r="I59" s="45"/>
      <c r="J59" s="46" t="s">
        <v>159</v>
      </c>
    </row>
    <row r="60">
      <c r="A60" s="44" t="str">
        <f t="array" ref="A60">INDEX('Aggregated - Bill of material'!$A$3:$A$18, MATCH(1,(E60='Aggregated - Bill of material'!$B$3:$B$18)*(F60='Aggregated - Bill of material'!$C$3:$C$18),0))</f>
        <v>S05</v>
      </c>
      <c r="B60" s="45" t="s">
        <v>154</v>
      </c>
      <c r="C60" s="45" t="s">
        <v>201</v>
      </c>
      <c r="D60" s="45" t="s">
        <v>8</v>
      </c>
      <c r="E60" s="45" t="s">
        <v>162</v>
      </c>
      <c r="F60" s="45" t="s">
        <v>166</v>
      </c>
      <c r="G60" s="45">
        <v>4.0</v>
      </c>
      <c r="H60" s="47" t="s">
        <v>232</v>
      </c>
      <c r="I60" s="45"/>
      <c r="J60" s="46" t="s">
        <v>159</v>
      </c>
    </row>
    <row r="61">
      <c r="A61" s="44" t="str">
        <f t="array" ref="A61">INDEX('Aggregated - Bill of material'!$A$3:$A$18, MATCH(1,(E61='Aggregated - Bill of material'!$B$3:$B$18)*(F61='Aggregated - Bill of material'!$C$3:$C$18),0))</f>
        <v>S02</v>
      </c>
      <c r="B61" s="45" t="s">
        <v>154</v>
      </c>
      <c r="C61" s="45" t="s">
        <v>201</v>
      </c>
      <c r="D61" s="45" t="s">
        <v>8</v>
      </c>
      <c r="E61" s="45" t="s">
        <v>162</v>
      </c>
      <c r="F61" s="45" t="s">
        <v>168</v>
      </c>
      <c r="G61" s="45">
        <v>2.0</v>
      </c>
      <c r="H61" s="45" t="s">
        <v>233</v>
      </c>
      <c r="I61" s="45"/>
      <c r="J61" s="46" t="s">
        <v>159</v>
      </c>
    </row>
    <row r="62">
      <c r="A62" s="44" t="str">
        <f t="array" ref="A62">INDEX('Aggregated - Bill of material'!$A$3:$A$18, MATCH(1,(E62='Aggregated - Bill of material'!$B$3:$B$18)*(F62='Aggregated - Bill of material'!$C$3:$C$18),0))</f>
        <v>S05</v>
      </c>
      <c r="B62" s="45" t="s">
        <v>154</v>
      </c>
      <c r="C62" s="45" t="s">
        <v>201</v>
      </c>
      <c r="D62" s="45" t="s">
        <v>8</v>
      </c>
      <c r="E62" s="45" t="s">
        <v>162</v>
      </c>
      <c r="F62" s="45" t="s">
        <v>166</v>
      </c>
      <c r="G62" s="45">
        <v>8.0</v>
      </c>
      <c r="H62" s="47" t="s">
        <v>234</v>
      </c>
      <c r="I62" s="45"/>
      <c r="J62" s="46" t="s">
        <v>159</v>
      </c>
    </row>
    <row r="63">
      <c r="A63" s="44" t="str">
        <f t="array" ref="A63">INDEX('Aggregated - Bill of material'!$A$3:$A$18, MATCH(1,(E63='Aggregated - Bill of material'!$B$3:$B$18)*(F63='Aggregated - Bill of material'!$C$3:$C$18),0))</f>
        <v>S05</v>
      </c>
      <c r="B63" s="45" t="s">
        <v>154</v>
      </c>
      <c r="C63" s="45" t="s">
        <v>201</v>
      </c>
      <c r="D63" s="45" t="s">
        <v>8</v>
      </c>
      <c r="E63" s="45" t="s">
        <v>162</v>
      </c>
      <c r="F63" s="45" t="s">
        <v>166</v>
      </c>
      <c r="G63" s="45">
        <v>8.0</v>
      </c>
      <c r="H63" s="47" t="s">
        <v>235</v>
      </c>
      <c r="I63" s="45"/>
      <c r="J63" s="46" t="s">
        <v>159</v>
      </c>
    </row>
    <row r="64">
      <c r="A64" s="44" t="str">
        <f t="array" ref="A64">INDEX('Aggregated - Bill of material'!$A$3:$A$18, MATCH(1,(E64='Aggregated - Bill of material'!$B$3:$B$18)*(F64='Aggregated - Bill of material'!$C$3:$C$18),0))</f>
        <v>S04</v>
      </c>
      <c r="B64" s="45" t="s">
        <v>154</v>
      </c>
      <c r="C64" s="45" t="s">
        <v>201</v>
      </c>
      <c r="D64" s="45" t="s">
        <v>8</v>
      </c>
      <c r="E64" s="45" t="s">
        <v>162</v>
      </c>
      <c r="F64" s="45" t="s">
        <v>177</v>
      </c>
      <c r="G64" s="45">
        <v>8.0</v>
      </c>
      <c r="H64" s="47" t="s">
        <v>236</v>
      </c>
      <c r="I64" s="45"/>
      <c r="J64" s="46" t="s">
        <v>159</v>
      </c>
    </row>
    <row r="65">
      <c r="A65" s="44" t="str">
        <f t="array" ref="A65">INDEX('Aggregated - Bill of material'!$A$3:$A$18, MATCH(1,(E65='Aggregated - Bill of material'!$B$3:$B$18)*(F65='Aggregated - Bill of material'!$C$3:$C$18),0))</f>
        <v>S04</v>
      </c>
      <c r="B65" s="45" t="s">
        <v>154</v>
      </c>
      <c r="C65" s="45" t="s">
        <v>201</v>
      </c>
      <c r="D65" s="45" t="s">
        <v>8</v>
      </c>
      <c r="E65" s="45" t="s">
        <v>162</v>
      </c>
      <c r="F65" s="45" t="s">
        <v>177</v>
      </c>
      <c r="G65" s="45">
        <v>8.0</v>
      </c>
      <c r="H65" s="47" t="s">
        <v>237</v>
      </c>
      <c r="I65" s="45"/>
      <c r="J65" s="46" t="s">
        <v>159</v>
      </c>
    </row>
    <row r="66">
      <c r="A66" s="48" t="str">
        <f t="array" ref="A66">INDEX('Aggregated - Bill of material'!$A$3:$A$18, MATCH(1,(E66='Aggregated - Bill of material'!$B$3:$B$18)*(F66='Aggregated - Bill of material'!$C$3:$C$18),0))</f>
        <v>S13</v>
      </c>
      <c r="B66" s="49" t="s">
        <v>154</v>
      </c>
      <c r="C66" s="49" t="s">
        <v>201</v>
      </c>
      <c r="D66" s="49" t="s">
        <v>8</v>
      </c>
      <c r="E66" s="49" t="s">
        <v>180</v>
      </c>
      <c r="F66" s="49" t="s">
        <v>157</v>
      </c>
      <c r="G66" s="49">
        <v>4.0</v>
      </c>
      <c r="H66" s="49" t="s">
        <v>238</v>
      </c>
      <c r="I66" s="49"/>
      <c r="J66" s="50" t="s">
        <v>159</v>
      </c>
    </row>
    <row r="67">
      <c r="A67" s="51"/>
      <c r="B67" s="51"/>
      <c r="C67" s="51"/>
      <c r="D67" s="51"/>
      <c r="E67" s="51"/>
      <c r="F67" s="51"/>
      <c r="G67" s="51"/>
      <c r="H67" s="45"/>
      <c r="I67" s="45"/>
      <c r="J67" s="45"/>
    </row>
    <row r="68">
      <c r="A68" s="9" t="s">
        <v>26</v>
      </c>
      <c r="B68" s="10"/>
      <c r="C68" s="10"/>
      <c r="D68" s="10"/>
      <c r="E68" s="10"/>
      <c r="F68" s="10"/>
      <c r="G68" s="10"/>
      <c r="H68" s="10"/>
      <c r="I68" s="11"/>
    </row>
    <row r="69">
      <c r="A69" s="12" t="s">
        <v>9</v>
      </c>
      <c r="B69" s="42" t="s">
        <v>145</v>
      </c>
      <c r="C69" s="42" t="s">
        <v>146</v>
      </c>
      <c r="D69" s="42" t="s">
        <v>147</v>
      </c>
      <c r="E69" s="42" t="s">
        <v>148</v>
      </c>
      <c r="F69" s="42" t="s">
        <v>150</v>
      </c>
      <c r="G69" s="42" t="s">
        <v>151</v>
      </c>
      <c r="H69" s="42" t="s">
        <v>152</v>
      </c>
      <c r="I69" s="43" t="s">
        <v>153</v>
      </c>
    </row>
    <row r="70">
      <c r="A70" s="52" t="str">
        <f t="array" ref="A70">INDEX('Aggregated - Bill of material'!$A$22:$A$24, MATCH(E70, 'Aggregated - Bill of material'!$B$22:$B$24, 0))</f>
        <v>N01</v>
      </c>
      <c r="B70" s="53" t="s">
        <v>154</v>
      </c>
      <c r="C70" s="53" t="s">
        <v>155</v>
      </c>
      <c r="D70" s="53" t="s">
        <v>26</v>
      </c>
      <c r="E70" s="53" t="s">
        <v>156</v>
      </c>
      <c r="F70" s="53">
        <v>2.0</v>
      </c>
      <c r="G70" s="53" t="s">
        <v>161</v>
      </c>
      <c r="H70" s="16"/>
      <c r="I70" s="54" t="s">
        <v>159</v>
      </c>
    </row>
    <row r="71">
      <c r="A71" s="55" t="str">
        <f t="array" ref="A71">INDEX('Aggregated - Bill of material'!$A$22:$A$24, MATCH(E71, 'Aggregated - Bill of material'!$B$22:$B$24, 0))</f>
        <v>N03</v>
      </c>
      <c r="B71" s="45" t="s">
        <v>154</v>
      </c>
      <c r="C71" s="45" t="s">
        <v>175</v>
      </c>
      <c r="D71" s="45" t="s">
        <v>26</v>
      </c>
      <c r="E71" s="45" t="s">
        <v>183</v>
      </c>
      <c r="F71" s="45">
        <v>8.0</v>
      </c>
      <c r="G71" s="45" t="s">
        <v>239</v>
      </c>
      <c r="H71" s="45" t="s">
        <v>240</v>
      </c>
      <c r="I71" s="46" t="s">
        <v>159</v>
      </c>
    </row>
    <row r="72">
      <c r="A72" s="55" t="str">
        <f t="array" ref="A72">INDEX('Aggregated - Bill of material'!$A$22:$A$24, MATCH(E72, 'Aggregated - Bill of material'!$B$22:$B$24, 0))</f>
        <v>N03</v>
      </c>
      <c r="B72" s="45" t="s">
        <v>154</v>
      </c>
      <c r="C72" s="45" t="s">
        <v>175</v>
      </c>
      <c r="D72" s="45" t="s">
        <v>26</v>
      </c>
      <c r="E72" s="45" t="s">
        <v>183</v>
      </c>
      <c r="F72" s="45">
        <v>16.0</v>
      </c>
      <c r="G72" s="45" t="s">
        <v>241</v>
      </c>
      <c r="H72" s="45" t="s">
        <v>240</v>
      </c>
      <c r="I72" s="46" t="s">
        <v>159</v>
      </c>
    </row>
    <row r="73">
      <c r="A73" s="55" t="str">
        <f t="array" ref="A73">INDEX('Aggregated - Bill of material'!$A$22:$A$24, MATCH(E73, 'Aggregated - Bill of material'!$B$22:$B$24, 0))</f>
        <v>N01</v>
      </c>
      <c r="B73" s="45" t="s">
        <v>154</v>
      </c>
      <c r="C73" s="45" t="s">
        <v>175</v>
      </c>
      <c r="D73" s="45" t="s">
        <v>26</v>
      </c>
      <c r="E73" s="45" t="s">
        <v>156</v>
      </c>
      <c r="F73" s="45">
        <v>2.0</v>
      </c>
      <c r="G73" s="45" t="s">
        <v>179</v>
      </c>
      <c r="I73" s="46" t="s">
        <v>159</v>
      </c>
    </row>
    <row r="74">
      <c r="A74" s="55" t="str">
        <f t="array" ref="A74">INDEX('Aggregated - Bill of material'!$A$22:$A$24, MATCH(E74, 'Aggregated - Bill of material'!$B$22:$B$24, 0))</f>
        <v>N03</v>
      </c>
      <c r="B74" s="45" t="s">
        <v>154</v>
      </c>
      <c r="C74" s="45" t="s">
        <v>175</v>
      </c>
      <c r="D74" s="45" t="s">
        <v>26</v>
      </c>
      <c r="E74" s="45" t="s">
        <v>183</v>
      </c>
      <c r="F74" s="45">
        <v>1.0</v>
      </c>
      <c r="G74" s="45" t="s">
        <v>185</v>
      </c>
      <c r="H74" s="45" t="s">
        <v>240</v>
      </c>
      <c r="I74" s="46" t="s">
        <v>159</v>
      </c>
    </row>
    <row r="75">
      <c r="A75" s="55" t="str">
        <f t="array" ref="A75">INDEX('Aggregated - Bill of material'!$A$22:$A$24, MATCH(E75, 'Aggregated - Bill of material'!$B$22:$B$24, 0))</f>
        <v>N03</v>
      </c>
      <c r="B75" s="45" t="s">
        <v>154</v>
      </c>
      <c r="C75" s="45" t="s">
        <v>175</v>
      </c>
      <c r="D75" s="45" t="s">
        <v>26</v>
      </c>
      <c r="E75" s="45" t="s">
        <v>183</v>
      </c>
      <c r="F75" s="45">
        <v>1.0</v>
      </c>
      <c r="G75" s="45" t="s">
        <v>197</v>
      </c>
      <c r="H75" s="45" t="s">
        <v>240</v>
      </c>
      <c r="I75" s="46" t="s">
        <v>159</v>
      </c>
    </row>
    <row r="76">
      <c r="A76" s="55" t="str">
        <f t="array" ref="A76">INDEX('Aggregated - Bill of material'!$A$22:$A$24, MATCH(E76, 'Aggregated - Bill of material'!$B$22:$B$24, 0))</f>
        <v>N03</v>
      </c>
      <c r="B76" s="45" t="s">
        <v>154</v>
      </c>
      <c r="C76" s="45" t="s">
        <v>201</v>
      </c>
      <c r="D76" s="45" t="s">
        <v>26</v>
      </c>
      <c r="E76" s="45" t="s">
        <v>183</v>
      </c>
      <c r="F76" s="45">
        <v>2.0</v>
      </c>
      <c r="G76" s="45" t="s">
        <v>203</v>
      </c>
      <c r="H76" s="45" t="s">
        <v>242</v>
      </c>
      <c r="I76" s="46" t="s">
        <v>159</v>
      </c>
    </row>
    <row r="77">
      <c r="A77" s="55" t="str">
        <f t="array" ref="A77">INDEX('Aggregated - Bill of material'!$A$22:$A$24, MATCH(E77, 'Aggregated - Bill of material'!$B$22:$B$24, 0))</f>
        <v>N03</v>
      </c>
      <c r="B77" s="45" t="s">
        <v>154</v>
      </c>
      <c r="C77" s="45" t="s">
        <v>201</v>
      </c>
      <c r="D77" s="45" t="s">
        <v>26</v>
      </c>
      <c r="E77" s="45" t="s">
        <v>183</v>
      </c>
      <c r="F77" s="45">
        <v>2.0</v>
      </c>
      <c r="G77" s="45" t="s">
        <v>205</v>
      </c>
      <c r="H77" s="45" t="s">
        <v>242</v>
      </c>
      <c r="I77" s="46" t="s">
        <v>159</v>
      </c>
    </row>
    <row r="78">
      <c r="A78" s="55" t="str">
        <f t="array" ref="A78">INDEX('Aggregated - Bill of material'!$A$22:$A$24, MATCH(E78, 'Aggregated - Bill of material'!$B$22:$B$24, 0))</f>
        <v>N01</v>
      </c>
      <c r="B78" s="45" t="s">
        <v>154</v>
      </c>
      <c r="C78" s="45" t="s">
        <v>201</v>
      </c>
      <c r="D78" s="45" t="s">
        <v>26</v>
      </c>
      <c r="E78" s="45" t="s">
        <v>156</v>
      </c>
      <c r="F78" s="45">
        <v>2.0</v>
      </c>
      <c r="G78" s="45" t="s">
        <v>207</v>
      </c>
      <c r="I78" s="46" t="s">
        <v>159</v>
      </c>
    </row>
    <row r="79">
      <c r="A79" s="55" t="str">
        <f t="array" ref="A79">INDEX('Aggregated - Bill of material'!$A$22:$A$24, MATCH(E79, 'Aggregated - Bill of material'!$B$22:$B$24, 0))</f>
        <v>N02</v>
      </c>
      <c r="B79" s="45" t="s">
        <v>154</v>
      </c>
      <c r="C79" s="45" t="s">
        <v>201</v>
      </c>
      <c r="D79" s="45" t="s">
        <v>26</v>
      </c>
      <c r="E79" s="45" t="s">
        <v>180</v>
      </c>
      <c r="F79" s="45">
        <v>1.0</v>
      </c>
      <c r="G79" s="45" t="s">
        <v>208</v>
      </c>
      <c r="H79" s="45"/>
      <c r="I79" s="46" t="s">
        <v>159</v>
      </c>
    </row>
    <row r="80">
      <c r="A80" s="55" t="str">
        <f t="array" ref="A80">INDEX('Aggregated - Bill of material'!$A$22:$A$24, MATCH(E80, 'Aggregated - Bill of material'!$B$22:$B$24, 0))</f>
        <v>N02</v>
      </c>
      <c r="B80" s="45" t="s">
        <v>154</v>
      </c>
      <c r="C80" s="45" t="s">
        <v>201</v>
      </c>
      <c r="D80" s="45" t="s">
        <v>26</v>
      </c>
      <c r="E80" s="45" t="s">
        <v>180</v>
      </c>
      <c r="F80" s="45">
        <v>2.0</v>
      </c>
      <c r="G80" s="45" t="s">
        <v>243</v>
      </c>
      <c r="H80" s="45"/>
      <c r="I80" s="46" t="s">
        <v>159</v>
      </c>
    </row>
    <row r="81">
      <c r="A81" s="55" t="str">
        <f t="array" ref="A81">INDEX('Aggregated - Bill of material'!$A$22:$A$24, MATCH(E81, 'Aggregated - Bill of material'!$B$22:$B$24, 0))</f>
        <v>N02</v>
      </c>
      <c r="B81" s="45" t="s">
        <v>154</v>
      </c>
      <c r="C81" s="45" t="s">
        <v>201</v>
      </c>
      <c r="D81" s="45" t="s">
        <v>26</v>
      </c>
      <c r="E81" s="45" t="s">
        <v>180</v>
      </c>
      <c r="F81" s="45">
        <v>1.0</v>
      </c>
      <c r="G81" s="45" t="s">
        <v>210</v>
      </c>
      <c r="H81" s="45"/>
      <c r="I81" s="46" t="s">
        <v>159</v>
      </c>
    </row>
    <row r="82">
      <c r="A82" s="55" t="str">
        <f t="array" ref="A82">INDEX('Aggregated - Bill of material'!$A$22:$A$24, MATCH(E82, 'Aggregated - Bill of material'!$B$22:$B$24, 0))</f>
        <v>N02</v>
      </c>
      <c r="B82" s="45" t="s">
        <v>154</v>
      </c>
      <c r="C82" s="45" t="s">
        <v>201</v>
      </c>
      <c r="D82" s="45" t="s">
        <v>26</v>
      </c>
      <c r="E82" s="45" t="s">
        <v>180</v>
      </c>
      <c r="F82" s="45">
        <v>2.0</v>
      </c>
      <c r="G82" s="45" t="s">
        <v>244</v>
      </c>
      <c r="H82" s="45"/>
      <c r="I82" s="46" t="s">
        <v>159</v>
      </c>
    </row>
    <row r="83">
      <c r="A83" s="55" t="str">
        <f t="array" ref="A83">INDEX('Aggregated - Bill of material'!$A$22:$A$24, MATCH(E83, 'Aggregated - Bill of material'!$B$22:$B$24, 0))</f>
        <v>N03</v>
      </c>
      <c r="B83" s="45" t="s">
        <v>154</v>
      </c>
      <c r="C83" s="45" t="s">
        <v>201</v>
      </c>
      <c r="D83" s="45" t="s">
        <v>26</v>
      </c>
      <c r="E83" s="45" t="s">
        <v>183</v>
      </c>
      <c r="F83" s="45">
        <v>1.0</v>
      </c>
      <c r="G83" s="45" t="s">
        <v>245</v>
      </c>
      <c r="H83" s="45" t="s">
        <v>240</v>
      </c>
      <c r="I83" s="46" t="s">
        <v>159</v>
      </c>
    </row>
    <row r="84">
      <c r="A84" s="55" t="str">
        <f t="array" ref="A84">INDEX('Aggregated - Bill of material'!$A$22:$A$24, MATCH(E84, 'Aggregated - Bill of material'!$B$22:$B$24, 0))</f>
        <v>N01</v>
      </c>
      <c r="B84" s="45" t="s">
        <v>154</v>
      </c>
      <c r="C84" s="45" t="s">
        <v>201</v>
      </c>
      <c r="D84" s="45" t="s">
        <v>26</v>
      </c>
      <c r="E84" s="45" t="s">
        <v>156</v>
      </c>
      <c r="F84" s="45">
        <v>2.0</v>
      </c>
      <c r="G84" s="45" t="s">
        <v>219</v>
      </c>
      <c r="I84" s="46" t="s">
        <v>159</v>
      </c>
    </row>
    <row r="85">
      <c r="A85" s="55" t="str">
        <f t="array" ref="A85">INDEX('Aggregated - Bill of material'!$A$22:$A$24, MATCH(E85, 'Aggregated - Bill of material'!$B$22:$B$24, 0))</f>
        <v>N01</v>
      </c>
      <c r="B85" s="45" t="s">
        <v>154</v>
      </c>
      <c r="C85" s="45" t="s">
        <v>201</v>
      </c>
      <c r="D85" s="45" t="s">
        <v>26</v>
      </c>
      <c r="E85" s="45" t="s">
        <v>156</v>
      </c>
      <c r="F85" s="45">
        <v>3.0</v>
      </c>
      <c r="G85" s="45" t="s">
        <v>220</v>
      </c>
      <c r="I85" s="46" t="s">
        <v>159</v>
      </c>
    </row>
    <row r="86">
      <c r="A86" s="55" t="str">
        <f t="array" ref="A86">INDEX('Aggregated - Bill of material'!$A$22:$A$24, MATCH(E86, 'Aggregated - Bill of material'!$B$22:$B$24, 0))</f>
        <v>N03</v>
      </c>
      <c r="B86" s="45" t="s">
        <v>154</v>
      </c>
      <c r="C86" s="45" t="s">
        <v>201</v>
      </c>
      <c r="D86" s="45" t="s">
        <v>26</v>
      </c>
      <c r="E86" s="45" t="s">
        <v>183</v>
      </c>
      <c r="F86" s="45">
        <v>2.0</v>
      </c>
      <c r="G86" s="45" t="s">
        <v>224</v>
      </c>
      <c r="I86" s="46" t="s">
        <v>159</v>
      </c>
    </row>
    <row r="87">
      <c r="A87" s="55" t="str">
        <f t="array" ref="A87">INDEX('Aggregated - Bill of material'!$A$22:$A$24, MATCH(E87, 'Aggregated - Bill of material'!$B$22:$B$24, 0))</f>
        <v>N02</v>
      </c>
      <c r="B87" s="45" t="s">
        <v>154</v>
      </c>
      <c r="C87" s="45" t="s">
        <v>201</v>
      </c>
      <c r="D87" s="45" t="s">
        <v>26</v>
      </c>
      <c r="E87" s="45" t="s">
        <v>180</v>
      </c>
      <c r="F87" s="45">
        <v>2.0</v>
      </c>
      <c r="G87" s="45" t="s">
        <v>225</v>
      </c>
      <c r="H87" s="45"/>
      <c r="I87" s="46" t="s">
        <v>159</v>
      </c>
    </row>
    <row r="88">
      <c r="A88" s="55" t="str">
        <f t="array" ref="A88">INDEX('Aggregated - Bill of material'!$A$22:$A$24, MATCH(E88, 'Aggregated - Bill of material'!$B$22:$B$24, 0))</f>
        <v>N02</v>
      </c>
      <c r="B88" s="45" t="s">
        <v>154</v>
      </c>
      <c r="C88" s="45" t="s">
        <v>201</v>
      </c>
      <c r="D88" s="45" t="s">
        <v>26</v>
      </c>
      <c r="E88" s="45" t="s">
        <v>180</v>
      </c>
      <c r="F88" s="45">
        <v>2.0</v>
      </c>
      <c r="G88" s="45" t="s">
        <v>226</v>
      </c>
      <c r="H88" s="45"/>
      <c r="I88" s="46" t="s">
        <v>159</v>
      </c>
    </row>
    <row r="89">
      <c r="A89" s="55" t="str">
        <f t="array" ref="A89">INDEX('Aggregated - Bill of material'!$A$22:$A$24, MATCH(E89, 'Aggregated - Bill of material'!$B$22:$B$24, 0))</f>
        <v>N03</v>
      </c>
      <c r="B89" s="45" t="s">
        <v>154</v>
      </c>
      <c r="C89" s="45" t="s">
        <v>201</v>
      </c>
      <c r="D89" s="45" t="s">
        <v>26</v>
      </c>
      <c r="E89" s="45" t="s">
        <v>183</v>
      </c>
      <c r="F89" s="45">
        <v>2.0</v>
      </c>
      <c r="G89" s="45" t="s">
        <v>230</v>
      </c>
      <c r="H89" s="45" t="s">
        <v>242</v>
      </c>
      <c r="I89" s="46" t="s">
        <v>159</v>
      </c>
    </row>
    <row r="90">
      <c r="A90" s="56" t="str">
        <f t="array" ref="A90">INDEX('Aggregated - Bill of material'!$A$22:$A$24, MATCH(E90, 'Aggregated - Bill of material'!$B$22:$B$24, 0))</f>
        <v>N02</v>
      </c>
      <c r="B90" s="49" t="s">
        <v>154</v>
      </c>
      <c r="C90" s="49" t="s">
        <v>201</v>
      </c>
      <c r="D90" s="49" t="s">
        <v>26</v>
      </c>
      <c r="E90" s="49" t="s">
        <v>180</v>
      </c>
      <c r="F90" s="49">
        <v>4.0</v>
      </c>
      <c r="G90" s="49" t="s">
        <v>238</v>
      </c>
      <c r="H90" s="49"/>
      <c r="I90" s="50" t="s">
        <v>159</v>
      </c>
    </row>
    <row r="91">
      <c r="A91" s="28"/>
    </row>
    <row r="92">
      <c r="A92" s="9" t="s">
        <v>30</v>
      </c>
      <c r="B92" s="10"/>
      <c r="C92" s="10"/>
      <c r="D92" s="10"/>
      <c r="E92" s="10"/>
      <c r="F92" s="10"/>
      <c r="G92" s="10"/>
      <c r="H92" s="10"/>
      <c r="I92" s="10"/>
      <c r="J92" s="10"/>
      <c r="K92" s="11"/>
    </row>
    <row r="93">
      <c r="A93" s="12" t="s">
        <v>9</v>
      </c>
      <c r="B93" s="42" t="s">
        <v>145</v>
      </c>
      <c r="C93" s="42" t="s">
        <v>146</v>
      </c>
      <c r="D93" s="42" t="s">
        <v>147</v>
      </c>
      <c r="E93" s="42" t="s">
        <v>246</v>
      </c>
      <c r="F93" s="42" t="s">
        <v>247</v>
      </c>
      <c r="G93" s="42" t="s">
        <v>248</v>
      </c>
      <c r="H93" s="42" t="s">
        <v>150</v>
      </c>
      <c r="I93" s="42" t="s">
        <v>152</v>
      </c>
      <c r="J93" s="42" t="s">
        <v>249</v>
      </c>
      <c r="K93" s="43" t="s">
        <v>153</v>
      </c>
    </row>
    <row r="94">
      <c r="A94" s="57" t="str">
        <f t="array" ref="A94">INDEX('Aggregated - Bill of material'!$A$28:$A$34, MATCH(1,(E94='Aggregated - Bill of material'!$B$28:$B$34)*(F94='Aggregated - Bill of material'!$C$28:$C$34)*(G94='Aggregated - Bill of material'!$D$28:$D$34),0))</f>
        <v>W07</v>
      </c>
      <c r="B94" s="45" t="s">
        <v>154</v>
      </c>
      <c r="C94" s="45" t="s">
        <v>155</v>
      </c>
      <c r="D94" s="45" t="s">
        <v>30</v>
      </c>
      <c r="E94" s="45" t="s">
        <v>250</v>
      </c>
      <c r="F94" s="45" t="s">
        <v>251</v>
      </c>
      <c r="G94" s="45" t="s">
        <v>252</v>
      </c>
      <c r="H94" s="45">
        <v>2.0</v>
      </c>
      <c r="I94" s="45" t="s">
        <v>161</v>
      </c>
      <c r="K94" s="46" t="s">
        <v>159</v>
      </c>
    </row>
    <row r="95">
      <c r="A95" s="57" t="str">
        <f t="array" ref="A95">INDEX('Aggregated - Bill of material'!$A$28:$A$34, MATCH(1,(E95='Aggregated - Bill of material'!$B$28:$B$34)*(F95='Aggregated - Bill of material'!$C$28:$C$34)*(G95='Aggregated - Bill of material'!$D$28:$D$34),0))</f>
        <v>W02</v>
      </c>
      <c r="B95" s="45" t="s">
        <v>154</v>
      </c>
      <c r="C95" s="45" t="s">
        <v>175</v>
      </c>
      <c r="D95" s="45" t="s">
        <v>30</v>
      </c>
      <c r="E95" s="45" t="s">
        <v>253</v>
      </c>
      <c r="F95" s="45" t="s">
        <v>163</v>
      </c>
      <c r="G95" s="45" t="s">
        <v>252</v>
      </c>
      <c r="H95" s="45">
        <v>14.0</v>
      </c>
      <c r="I95" s="45" t="s">
        <v>178</v>
      </c>
      <c r="K95" s="46" t="s">
        <v>159</v>
      </c>
    </row>
    <row r="96">
      <c r="A96" s="57" t="str">
        <f t="array" ref="A96">INDEX('Aggregated - Bill of material'!$A$28:$A$34, MATCH(1,(E96='Aggregated - Bill of material'!$B$28:$B$34)*(F96='Aggregated - Bill of material'!$C$28:$C$34)*(G96='Aggregated - Bill of material'!$D$28:$D$34),0))</f>
        <v>W04</v>
      </c>
      <c r="B96" s="45" t="s">
        <v>154</v>
      </c>
      <c r="C96" s="45" t="s">
        <v>175</v>
      </c>
      <c r="D96" s="45" t="s">
        <v>30</v>
      </c>
      <c r="E96" s="45" t="s">
        <v>177</v>
      </c>
      <c r="F96" s="45" t="s">
        <v>254</v>
      </c>
      <c r="G96" s="45" t="s">
        <v>255</v>
      </c>
      <c r="H96" s="45">
        <v>8.0</v>
      </c>
      <c r="I96" s="45" t="s">
        <v>256</v>
      </c>
      <c r="K96" s="46" t="s">
        <v>159</v>
      </c>
    </row>
    <row r="97">
      <c r="A97" s="57" t="str">
        <f t="array" ref="A97">INDEX('Aggregated - Bill of material'!$A$28:$A$34, MATCH(1,(E97='Aggregated - Bill of material'!$B$28:$B$34)*(F97='Aggregated - Bill of material'!$C$28:$C$34)*(G97='Aggregated - Bill of material'!$D$28:$D$34),0))</f>
        <v>W04</v>
      </c>
      <c r="B97" s="45" t="s">
        <v>154</v>
      </c>
      <c r="C97" s="45" t="s">
        <v>175</v>
      </c>
      <c r="D97" s="45" t="s">
        <v>30</v>
      </c>
      <c r="E97" s="45" t="s">
        <v>177</v>
      </c>
      <c r="F97" s="45" t="s">
        <v>254</v>
      </c>
      <c r="G97" s="45" t="s">
        <v>255</v>
      </c>
      <c r="H97" s="45">
        <v>16.0</v>
      </c>
      <c r="I97" s="45" t="s">
        <v>257</v>
      </c>
      <c r="K97" s="46" t="s">
        <v>159</v>
      </c>
    </row>
    <row r="98">
      <c r="A98" s="57" t="str">
        <f t="array" ref="A98">INDEX('Aggregated - Bill of material'!$A$28:$A$34, MATCH(1,(E98='Aggregated - Bill of material'!$B$28:$B$34)*(F98='Aggregated - Bill of material'!$C$28:$C$34)*(G98='Aggregated - Bill of material'!$D$28:$D$34),0))</f>
        <v>W01</v>
      </c>
      <c r="B98" s="45" t="s">
        <v>154</v>
      </c>
      <c r="C98" s="45" t="s">
        <v>175</v>
      </c>
      <c r="D98" s="45" t="s">
        <v>30</v>
      </c>
      <c r="E98" s="45" t="s">
        <v>254</v>
      </c>
      <c r="F98" s="45" t="s">
        <v>163</v>
      </c>
      <c r="G98" s="45" t="s">
        <v>252</v>
      </c>
      <c r="H98" s="45">
        <v>2.0</v>
      </c>
      <c r="I98" s="45" t="s">
        <v>258</v>
      </c>
      <c r="K98" s="46" t="s">
        <v>159</v>
      </c>
    </row>
    <row r="99">
      <c r="A99" s="57" t="str">
        <f t="array" ref="A99">INDEX('Aggregated - Bill of material'!$A$28:$A$34, MATCH(1,(E99='Aggregated - Bill of material'!$B$28:$B$34)*(F99='Aggregated - Bill of material'!$C$28:$C$34)*(G99='Aggregated - Bill of material'!$D$28:$D$34),0))</f>
        <v>W04</v>
      </c>
      <c r="B99" s="45" t="s">
        <v>154</v>
      </c>
      <c r="C99" s="45" t="s">
        <v>175</v>
      </c>
      <c r="D99" s="45" t="s">
        <v>30</v>
      </c>
      <c r="E99" s="45" t="s">
        <v>177</v>
      </c>
      <c r="F99" s="45" t="s">
        <v>254</v>
      </c>
      <c r="G99" s="45" t="s">
        <v>255</v>
      </c>
      <c r="H99" s="45">
        <v>1.0</v>
      </c>
      <c r="I99" s="45" t="s">
        <v>185</v>
      </c>
      <c r="K99" s="46" t="s">
        <v>159</v>
      </c>
    </row>
    <row r="100">
      <c r="A100" s="57" t="str">
        <f t="array" ref="A100">INDEX('Aggregated - Bill of material'!$A$28:$A$34, MATCH(1,(E100='Aggregated - Bill of material'!$B$28:$B$34)*(F100='Aggregated - Bill of material'!$C$28:$C$34)*(G100='Aggregated - Bill of material'!$D$28:$D$34),0))</f>
        <v>W04</v>
      </c>
      <c r="B100" s="45" t="s">
        <v>154</v>
      </c>
      <c r="C100" s="45" t="s">
        <v>175</v>
      </c>
      <c r="D100" s="45" t="s">
        <v>30</v>
      </c>
      <c r="E100" s="45" t="s">
        <v>177</v>
      </c>
      <c r="F100" s="45" t="s">
        <v>254</v>
      </c>
      <c r="G100" s="45" t="s">
        <v>255</v>
      </c>
      <c r="H100" s="45">
        <v>1.0</v>
      </c>
      <c r="I100" s="45" t="s">
        <v>197</v>
      </c>
      <c r="K100" s="46" t="s">
        <v>159</v>
      </c>
    </row>
    <row r="101">
      <c r="A101" s="57" t="str">
        <f t="array" ref="A101">INDEX('Aggregated - Bill of material'!$A$28:$A$34, MATCH(1,(E101='Aggregated - Bill of material'!$B$28:$B$34)*(F101='Aggregated - Bill of material'!$C$28:$C$34)*(G101='Aggregated - Bill of material'!$D$28:$D$34),0))</f>
        <v>W05</v>
      </c>
      <c r="B101" s="45" t="s">
        <v>154</v>
      </c>
      <c r="C101" s="45" t="s">
        <v>201</v>
      </c>
      <c r="D101" s="45" t="s">
        <v>30</v>
      </c>
      <c r="E101" s="45" t="s">
        <v>221</v>
      </c>
      <c r="F101" s="45" t="s">
        <v>259</v>
      </c>
      <c r="G101" s="45" t="s">
        <v>260</v>
      </c>
      <c r="H101" s="45">
        <v>4.0</v>
      </c>
      <c r="I101" s="45" t="s">
        <v>202</v>
      </c>
      <c r="K101" s="46" t="s">
        <v>159</v>
      </c>
    </row>
    <row r="102">
      <c r="A102" s="57" t="str">
        <f t="array" ref="A102">INDEX('Aggregated - Bill of material'!$A$28:$A$34, MATCH(1,(E102='Aggregated - Bill of material'!$B$28:$B$34)*(F102='Aggregated - Bill of material'!$C$28:$C$34)*(G102='Aggregated - Bill of material'!$D$28:$D$34),0))</f>
        <v>W03</v>
      </c>
      <c r="B102" s="45" t="s">
        <v>154</v>
      </c>
      <c r="C102" s="45" t="s">
        <v>201</v>
      </c>
      <c r="D102" s="45" t="s">
        <v>30</v>
      </c>
      <c r="E102" s="45" t="s">
        <v>253</v>
      </c>
      <c r="F102" s="45" t="s">
        <v>261</v>
      </c>
      <c r="G102" s="45" t="s">
        <v>262</v>
      </c>
      <c r="H102" s="45">
        <v>8.0</v>
      </c>
      <c r="I102" s="45" t="s">
        <v>203</v>
      </c>
      <c r="J102" s="45" t="s">
        <v>263</v>
      </c>
      <c r="K102" s="46" t="s">
        <v>159</v>
      </c>
    </row>
    <row r="103">
      <c r="A103" s="57" t="str">
        <f t="array" ref="A103">INDEX('Aggregated - Bill of material'!$A$28:$A$34, MATCH(1,(E103='Aggregated - Bill of material'!$B$28:$B$34)*(F103='Aggregated - Bill of material'!$C$28:$C$34)*(G103='Aggregated - Bill of material'!$D$28:$D$34),0))</f>
        <v>W03</v>
      </c>
      <c r="B103" s="45" t="s">
        <v>154</v>
      </c>
      <c r="C103" s="45" t="s">
        <v>201</v>
      </c>
      <c r="D103" s="45" t="s">
        <v>30</v>
      </c>
      <c r="E103" s="45" t="s">
        <v>253</v>
      </c>
      <c r="F103" s="45" t="s">
        <v>261</v>
      </c>
      <c r="G103" s="45" t="s">
        <v>262</v>
      </c>
      <c r="H103" s="45">
        <v>8.0</v>
      </c>
      <c r="I103" s="45" t="s">
        <v>205</v>
      </c>
      <c r="J103" s="45" t="s">
        <v>263</v>
      </c>
      <c r="K103" s="46" t="s">
        <v>159</v>
      </c>
    </row>
    <row r="104">
      <c r="A104" s="57" t="str">
        <f t="array" ref="A104">INDEX('Aggregated - Bill of material'!$A$28:$A$34, MATCH(1,(E104='Aggregated - Bill of material'!$B$28:$B$34)*(F104='Aggregated - Bill of material'!$C$28:$C$34)*(G104='Aggregated - Bill of material'!$D$28:$D$34),0))</f>
        <v>W05</v>
      </c>
      <c r="B104" s="45" t="s">
        <v>154</v>
      </c>
      <c r="C104" s="45" t="s">
        <v>201</v>
      </c>
      <c r="D104" s="45" t="s">
        <v>30</v>
      </c>
      <c r="E104" s="45" t="s">
        <v>221</v>
      </c>
      <c r="F104" s="45" t="s">
        <v>259</v>
      </c>
      <c r="G104" s="45" t="s">
        <v>260</v>
      </c>
      <c r="H104" s="45">
        <v>4.0</v>
      </c>
      <c r="I104" s="45" t="s">
        <v>206</v>
      </c>
      <c r="K104" s="46" t="s">
        <v>159</v>
      </c>
    </row>
    <row r="105">
      <c r="A105" s="57" t="str">
        <f t="array" ref="A105">INDEX('Aggregated - Bill of material'!$A$28:$A$34, MATCH(1,(E105='Aggregated - Bill of material'!$B$28:$B$34)*(F105='Aggregated - Bill of material'!$C$28:$C$34)*(G105='Aggregated - Bill of material'!$D$28:$D$34),0))</f>
        <v>W01</v>
      </c>
      <c r="B105" s="45" t="s">
        <v>154</v>
      </c>
      <c r="C105" s="45" t="s">
        <v>201</v>
      </c>
      <c r="D105" s="45" t="s">
        <v>30</v>
      </c>
      <c r="E105" s="45" t="s">
        <v>254</v>
      </c>
      <c r="F105" s="45" t="s">
        <v>163</v>
      </c>
      <c r="G105" s="45" t="s">
        <v>252</v>
      </c>
      <c r="H105" s="45">
        <v>2.0</v>
      </c>
      <c r="I105" s="45" t="s">
        <v>264</v>
      </c>
      <c r="K105" s="46" t="s">
        <v>159</v>
      </c>
    </row>
    <row r="106">
      <c r="A106" s="57" t="str">
        <f t="array" ref="A106">INDEX('Aggregated - Bill of material'!$A$28:$A$34, MATCH(1,(E106='Aggregated - Bill of material'!$B$28:$B$34)*(F106='Aggregated - Bill of material'!$C$28:$C$34)*(G106='Aggregated - Bill of material'!$D$28:$D$34),0))</f>
        <v>W01</v>
      </c>
      <c r="B106" s="45" t="s">
        <v>154</v>
      </c>
      <c r="C106" s="45" t="s">
        <v>201</v>
      </c>
      <c r="D106" s="45" t="s">
        <v>30</v>
      </c>
      <c r="E106" s="45" t="s">
        <v>254</v>
      </c>
      <c r="F106" s="45" t="s">
        <v>163</v>
      </c>
      <c r="G106" s="45" t="s">
        <v>252</v>
      </c>
      <c r="H106" s="45">
        <v>2.0</v>
      </c>
      <c r="I106" s="45" t="s">
        <v>219</v>
      </c>
      <c r="K106" s="46" t="s">
        <v>159</v>
      </c>
    </row>
    <row r="107">
      <c r="A107" s="57" t="str">
        <f t="array" ref="A107">INDEX('Aggregated - Bill of material'!$A$28:$A$34, MATCH(1,(E107='Aggregated - Bill of material'!$B$28:$B$34)*(F107='Aggregated - Bill of material'!$C$28:$C$34)*(G107='Aggregated - Bill of material'!$D$28:$D$34),0))</f>
        <v>W01</v>
      </c>
      <c r="B107" s="45" t="s">
        <v>154</v>
      </c>
      <c r="C107" s="45" t="s">
        <v>201</v>
      </c>
      <c r="D107" s="45" t="s">
        <v>30</v>
      </c>
      <c r="E107" s="45" t="s">
        <v>254</v>
      </c>
      <c r="F107" s="45" t="s">
        <v>163</v>
      </c>
      <c r="G107" s="45" t="s">
        <v>252</v>
      </c>
      <c r="H107" s="45">
        <v>3.0</v>
      </c>
      <c r="I107" s="45" t="s">
        <v>220</v>
      </c>
      <c r="K107" s="46" t="s">
        <v>159</v>
      </c>
    </row>
    <row r="108">
      <c r="A108" s="57" t="str">
        <f t="array" ref="A108">INDEX('Aggregated - Bill of material'!$A$28:$A$34, MATCH(1,(E108='Aggregated - Bill of material'!$B$28:$B$34)*(F108='Aggregated - Bill of material'!$C$28:$C$34)*(G108='Aggregated - Bill of material'!$D$28:$D$34),0))</f>
        <v>W06</v>
      </c>
      <c r="B108" s="45" t="s">
        <v>154</v>
      </c>
      <c r="C108" s="45" t="s">
        <v>201</v>
      </c>
      <c r="D108" s="45" t="s">
        <v>30</v>
      </c>
      <c r="E108" s="45" t="s">
        <v>221</v>
      </c>
      <c r="F108" s="45" t="s">
        <v>259</v>
      </c>
      <c r="G108" s="45" t="s">
        <v>252</v>
      </c>
      <c r="H108" s="45">
        <v>4.0</v>
      </c>
      <c r="I108" s="45" t="s">
        <v>222</v>
      </c>
      <c r="J108" s="45"/>
      <c r="K108" s="46" t="s">
        <v>159</v>
      </c>
    </row>
    <row r="109">
      <c r="A109" s="57" t="str">
        <f t="array" ref="A109">INDEX('Aggregated - Bill of material'!$A$28:$A$34, MATCH(1,(E109='Aggregated - Bill of material'!$B$28:$B$34)*(F109='Aggregated - Bill of material'!$C$28:$C$34)*(G109='Aggregated - Bill of material'!$D$28:$D$34),0))</f>
        <v>W04</v>
      </c>
      <c r="B109" s="45" t="s">
        <v>154</v>
      </c>
      <c r="C109" s="45" t="s">
        <v>201</v>
      </c>
      <c r="D109" s="45" t="s">
        <v>30</v>
      </c>
      <c r="E109" s="45" t="s">
        <v>177</v>
      </c>
      <c r="F109" s="45" t="s">
        <v>254</v>
      </c>
      <c r="G109" s="45" t="s">
        <v>255</v>
      </c>
      <c r="H109" s="45">
        <v>1.0</v>
      </c>
      <c r="I109" s="45" t="s">
        <v>224</v>
      </c>
      <c r="K109" s="46" t="s">
        <v>159</v>
      </c>
    </row>
    <row r="110">
      <c r="A110" s="57" t="str">
        <f t="array" ref="A110">INDEX('Aggregated - Bill of material'!$A$28:$A$34, MATCH(1,(E110='Aggregated - Bill of material'!$B$28:$B$34)*(F110='Aggregated - Bill of material'!$C$28:$C$34)*(G110='Aggregated - Bill of material'!$D$28:$D$34),0))</f>
        <v>W05</v>
      </c>
      <c r="B110" s="45" t="s">
        <v>154</v>
      </c>
      <c r="C110" s="45" t="s">
        <v>201</v>
      </c>
      <c r="D110" s="45" t="s">
        <v>30</v>
      </c>
      <c r="E110" s="45" t="s">
        <v>221</v>
      </c>
      <c r="F110" s="45" t="s">
        <v>259</v>
      </c>
      <c r="G110" s="45" t="s">
        <v>260</v>
      </c>
      <c r="H110" s="45">
        <v>4.0</v>
      </c>
      <c r="I110" s="45" t="s">
        <v>229</v>
      </c>
      <c r="K110" s="46" t="s">
        <v>159</v>
      </c>
    </row>
    <row r="111">
      <c r="A111" s="57" t="str">
        <f t="array" ref="A111">INDEX('Aggregated - Bill of material'!$A$28:$A$34, MATCH(1,(E111='Aggregated - Bill of material'!$B$28:$B$34)*(F111='Aggregated - Bill of material'!$C$28:$C$34)*(G111='Aggregated - Bill of material'!$D$28:$D$34),0))</f>
        <v>W03</v>
      </c>
      <c r="B111" s="45" t="s">
        <v>154</v>
      </c>
      <c r="C111" s="45" t="s">
        <v>201</v>
      </c>
      <c r="D111" s="45" t="s">
        <v>30</v>
      </c>
      <c r="E111" s="45" t="s">
        <v>253</v>
      </c>
      <c r="F111" s="45" t="s">
        <v>261</v>
      </c>
      <c r="G111" s="45" t="s">
        <v>262</v>
      </c>
      <c r="H111" s="45">
        <v>8.0</v>
      </c>
      <c r="I111" s="45" t="s">
        <v>230</v>
      </c>
      <c r="J111" s="45" t="s">
        <v>263</v>
      </c>
      <c r="K111" s="46" t="s">
        <v>159</v>
      </c>
    </row>
    <row r="112">
      <c r="A112" s="58" t="str">
        <f t="array" ref="A112">INDEX('Aggregated - Bill of material'!$A$28:$A$34, MATCH(1,(E112='Aggregated - Bill of material'!$B$28:$B$34)*(F112='Aggregated - Bill of material'!$C$28:$C$34)*(G112='Aggregated - Bill of material'!$D$28:$D$34),0))</f>
        <v>W01</v>
      </c>
      <c r="B112" s="49" t="s">
        <v>154</v>
      </c>
      <c r="C112" s="49" t="s">
        <v>201</v>
      </c>
      <c r="D112" s="49" t="s">
        <v>30</v>
      </c>
      <c r="E112" s="49" t="s">
        <v>254</v>
      </c>
      <c r="F112" s="49" t="s">
        <v>163</v>
      </c>
      <c r="G112" s="49" t="s">
        <v>252</v>
      </c>
      <c r="H112" s="49">
        <v>4.0</v>
      </c>
      <c r="I112" s="49" t="s">
        <v>238</v>
      </c>
      <c r="J112" s="22"/>
      <c r="K112" s="50" t="s">
        <v>159</v>
      </c>
    </row>
    <row r="113" ht="15.0" customHeight="1">
      <c r="A113" s="59"/>
      <c r="B113" s="59"/>
      <c r="C113" s="59"/>
      <c r="D113" s="59"/>
      <c r="E113" s="59"/>
      <c r="F113" s="59"/>
      <c r="G113" s="59"/>
      <c r="H113" s="59"/>
      <c r="I113" s="45"/>
      <c r="J113" s="45"/>
    </row>
    <row r="114">
      <c r="A114" s="9" t="s">
        <v>38</v>
      </c>
      <c r="B114" s="10"/>
      <c r="C114" s="10"/>
      <c r="D114" s="10"/>
      <c r="E114" s="10"/>
      <c r="F114" s="10"/>
      <c r="G114" s="10"/>
      <c r="H114" s="10"/>
      <c r="I114" s="11"/>
    </row>
    <row r="115">
      <c r="A115" s="24" t="s">
        <v>9</v>
      </c>
      <c r="B115" s="60" t="s">
        <v>145</v>
      </c>
      <c r="C115" s="60" t="s">
        <v>146</v>
      </c>
      <c r="D115" s="60" t="s">
        <v>147</v>
      </c>
      <c r="E115" s="60" t="s">
        <v>150</v>
      </c>
      <c r="F115" s="60" t="s">
        <v>151</v>
      </c>
      <c r="G115" s="60" t="s">
        <v>152</v>
      </c>
      <c r="H115" s="60" t="s">
        <v>249</v>
      </c>
      <c r="I115" s="61" t="s">
        <v>153</v>
      </c>
    </row>
    <row r="116">
      <c r="A116" s="44" t="str">
        <f t="array" ref="A116">INDEX('Aggregated - Bill of material'!$A$38:$A$66, MATCH(D116, 'Aggregated - Bill of material'!$B$38:$B$66, 0))</f>
        <v>E17</v>
      </c>
      <c r="B116" s="45" t="s">
        <v>38</v>
      </c>
      <c r="C116" s="45" t="s">
        <v>155</v>
      </c>
      <c r="D116" s="45" t="s">
        <v>265</v>
      </c>
      <c r="E116" s="45">
        <v>1.0</v>
      </c>
      <c r="F116" s="45" t="s">
        <v>266</v>
      </c>
      <c r="H116" s="45" t="s">
        <v>267</v>
      </c>
      <c r="I116" s="46" t="s">
        <v>159</v>
      </c>
    </row>
    <row r="117">
      <c r="A117" s="44" t="str">
        <f t="array" ref="A117">INDEX('Aggregated - Bill of material'!$A$38:$A$66, MATCH(D117, 'Aggregated - Bill of material'!$B$38:$B$66, 0))</f>
        <v>E01</v>
      </c>
      <c r="B117" s="45" t="s">
        <v>38</v>
      </c>
      <c r="C117" s="45" t="s">
        <v>155</v>
      </c>
      <c r="D117" s="45" t="s">
        <v>268</v>
      </c>
      <c r="E117" s="45">
        <v>1.0</v>
      </c>
      <c r="F117" s="45" t="s">
        <v>269</v>
      </c>
      <c r="G117" s="45" t="s">
        <v>270</v>
      </c>
      <c r="H117" s="45" t="s">
        <v>271</v>
      </c>
      <c r="I117" s="46" t="s">
        <v>159</v>
      </c>
    </row>
    <row r="118">
      <c r="A118" s="44" t="str">
        <f t="array" ref="A118">INDEX('Aggregated - Bill of material'!$A$38:$A$66, MATCH(D118, 'Aggregated - Bill of material'!$B$38:$B$66, 0))</f>
        <v>E22</v>
      </c>
      <c r="B118" s="45" t="s">
        <v>38</v>
      </c>
      <c r="C118" s="45" t="s">
        <v>155</v>
      </c>
      <c r="D118" s="45" t="s">
        <v>272</v>
      </c>
      <c r="E118" s="45">
        <v>1.0</v>
      </c>
      <c r="F118" s="45" t="s">
        <v>273</v>
      </c>
      <c r="G118" s="45" t="s">
        <v>274</v>
      </c>
      <c r="H118" s="45" t="s">
        <v>275</v>
      </c>
      <c r="I118" s="46" t="s">
        <v>159</v>
      </c>
    </row>
    <row r="119">
      <c r="A119" s="44" t="str">
        <f t="array" ref="A119">INDEX('Aggregated - Bill of material'!$A$38:$A$66, MATCH(D119, 'Aggregated - Bill of material'!$B$38:$B$66, 0))</f>
        <v>E14</v>
      </c>
      <c r="B119" s="45" t="s">
        <v>38</v>
      </c>
      <c r="C119" s="45" t="s">
        <v>155</v>
      </c>
      <c r="D119" s="45" t="s">
        <v>276</v>
      </c>
      <c r="E119" s="45">
        <v>1.0</v>
      </c>
      <c r="F119" s="45" t="s">
        <v>277</v>
      </c>
      <c r="G119" s="45" t="s">
        <v>278</v>
      </c>
      <c r="H119" s="45" t="s">
        <v>279</v>
      </c>
      <c r="I119" s="46" t="s">
        <v>159</v>
      </c>
    </row>
    <row r="120">
      <c r="A120" s="44" t="str">
        <f t="array" ref="A120">INDEX('Aggregated - Bill of material'!$A$38:$A$66, MATCH(D120, 'Aggregated - Bill of material'!$B$38:$B$66, 0))</f>
        <v>E27</v>
      </c>
      <c r="B120" s="45" t="s">
        <v>38</v>
      </c>
      <c r="C120" s="45" t="s">
        <v>155</v>
      </c>
      <c r="D120" s="45" t="s">
        <v>280</v>
      </c>
      <c r="E120" s="45">
        <v>4.0</v>
      </c>
      <c r="F120" s="45" t="s">
        <v>281</v>
      </c>
      <c r="G120" s="45" t="s">
        <v>282</v>
      </c>
      <c r="H120" s="45" t="s">
        <v>283</v>
      </c>
      <c r="I120" s="46" t="s">
        <v>159</v>
      </c>
    </row>
    <row r="121">
      <c r="A121" s="44" t="str">
        <f t="array" ref="A121">INDEX('Aggregated - Bill of material'!$A$38:$A$66, MATCH(D121, 'Aggregated - Bill of material'!$B$38:$B$66, 0))</f>
        <v>E26</v>
      </c>
      <c r="B121" s="45" t="s">
        <v>38</v>
      </c>
      <c r="C121" s="45" t="s">
        <v>155</v>
      </c>
      <c r="D121" s="45" t="s">
        <v>284</v>
      </c>
      <c r="E121" s="45">
        <v>6.0</v>
      </c>
      <c r="F121" s="45" t="s">
        <v>285</v>
      </c>
      <c r="G121" s="45" t="s">
        <v>286</v>
      </c>
      <c r="H121" s="45" t="s">
        <v>287</v>
      </c>
      <c r="I121" s="46" t="s">
        <v>159</v>
      </c>
    </row>
    <row r="122">
      <c r="A122" s="44" t="str">
        <f t="array" ref="A122">INDEX('Aggregated - Bill of material'!$A$38:$A$66, MATCH(D122, 'Aggregated - Bill of material'!$B$38:$B$66, 0))</f>
        <v>E06</v>
      </c>
      <c r="B122" s="45" t="s">
        <v>38</v>
      </c>
      <c r="C122" s="45" t="s">
        <v>155</v>
      </c>
      <c r="D122" s="45" t="s">
        <v>288</v>
      </c>
      <c r="E122" s="62" t="s">
        <v>289</v>
      </c>
      <c r="F122" s="45" t="s">
        <v>290</v>
      </c>
      <c r="G122" s="45" t="s">
        <v>291</v>
      </c>
      <c r="I122" s="46" t="s">
        <v>159</v>
      </c>
    </row>
    <row r="123">
      <c r="A123" s="44" t="str">
        <f t="array" ref="A123">INDEX('Aggregated - Bill of material'!$A$38:$A$66, MATCH(D123, 'Aggregated - Bill of material'!$B$38:$B$66, 0))</f>
        <v>E07</v>
      </c>
      <c r="B123" s="45" t="s">
        <v>38</v>
      </c>
      <c r="C123" s="45" t="s">
        <v>155</v>
      </c>
      <c r="D123" s="45" t="s">
        <v>292</v>
      </c>
      <c r="E123" s="45">
        <v>3.0</v>
      </c>
      <c r="F123" s="45" t="s">
        <v>293</v>
      </c>
      <c r="H123" s="45" t="s">
        <v>294</v>
      </c>
      <c r="I123" s="46" t="s">
        <v>159</v>
      </c>
    </row>
    <row r="124">
      <c r="A124" s="44" t="str">
        <f t="array" ref="A124">INDEX('Aggregated - Bill of material'!$A$38:$A$66, MATCH(D124, 'Aggregated - Bill of material'!$B$38:$B$66, 0))</f>
        <v>E02</v>
      </c>
      <c r="B124" s="45" t="s">
        <v>38</v>
      </c>
      <c r="C124" s="45" t="s">
        <v>155</v>
      </c>
      <c r="D124" s="45" t="s">
        <v>295</v>
      </c>
      <c r="E124" s="45">
        <v>1.0</v>
      </c>
      <c r="F124" s="45" t="s">
        <v>296</v>
      </c>
      <c r="H124" s="45" t="s">
        <v>297</v>
      </c>
      <c r="I124" s="46" t="s">
        <v>159</v>
      </c>
    </row>
    <row r="125">
      <c r="A125" s="44" t="str">
        <f t="array" ref="A125">INDEX('Aggregated - Bill of material'!$A$38:$A$66, MATCH(D125, 'Aggregated - Bill of material'!$B$38:$B$66, 0))</f>
        <v>E24</v>
      </c>
      <c r="B125" s="45" t="s">
        <v>38</v>
      </c>
      <c r="C125" s="45" t="s">
        <v>155</v>
      </c>
      <c r="D125" s="45" t="s">
        <v>298</v>
      </c>
      <c r="E125" s="45">
        <v>3.0</v>
      </c>
      <c r="F125" s="45" t="s">
        <v>299</v>
      </c>
      <c r="G125" s="45" t="s">
        <v>300</v>
      </c>
      <c r="H125" s="45" t="s">
        <v>301</v>
      </c>
      <c r="I125" s="46" t="s">
        <v>159</v>
      </c>
    </row>
    <row r="126">
      <c r="A126" s="44" t="str">
        <f t="array" ref="A126">INDEX('Aggregated - Bill of material'!$A$38:$A$66, MATCH(D126, 'Aggregated - Bill of material'!$B$38:$B$66, 0))</f>
        <v>E23</v>
      </c>
      <c r="B126" s="45" t="s">
        <v>38</v>
      </c>
      <c r="C126" s="45" t="s">
        <v>155</v>
      </c>
      <c r="D126" s="45" t="s">
        <v>302</v>
      </c>
      <c r="E126" s="45">
        <v>4.0</v>
      </c>
      <c r="F126" s="45" t="s">
        <v>303</v>
      </c>
      <c r="G126" s="45" t="s">
        <v>304</v>
      </c>
      <c r="H126" s="45" t="s">
        <v>301</v>
      </c>
      <c r="I126" s="46" t="s">
        <v>159</v>
      </c>
    </row>
    <row r="127">
      <c r="A127" s="44" t="str">
        <f t="array" ref="A127">INDEX('Aggregated - Bill of material'!$A$38:$A$66, MATCH(D127, 'Aggregated - Bill of material'!$B$38:$B$66, 0))</f>
        <v>E01</v>
      </c>
      <c r="B127" s="45" t="s">
        <v>38</v>
      </c>
      <c r="C127" s="45" t="s">
        <v>170</v>
      </c>
      <c r="D127" s="45" t="s">
        <v>268</v>
      </c>
      <c r="E127" s="45">
        <v>1.0</v>
      </c>
      <c r="F127" s="45" t="s">
        <v>305</v>
      </c>
      <c r="G127" s="45" t="s">
        <v>270</v>
      </c>
      <c r="H127" s="45" t="s">
        <v>306</v>
      </c>
      <c r="I127" s="46" t="s">
        <v>159</v>
      </c>
    </row>
    <row r="128">
      <c r="A128" s="44" t="str">
        <f t="array" ref="A128">INDEX('Aggregated - Bill of material'!$A$38:$A$66, MATCH(D128, 'Aggregated - Bill of material'!$B$38:$B$66, 0))</f>
        <v>E29</v>
      </c>
      <c r="B128" s="45" t="s">
        <v>38</v>
      </c>
      <c r="C128" s="45" t="s">
        <v>170</v>
      </c>
      <c r="D128" s="45" t="s">
        <v>307</v>
      </c>
      <c r="E128" s="45">
        <v>1.0</v>
      </c>
      <c r="F128" s="45" t="s">
        <v>308</v>
      </c>
      <c r="H128" s="45" t="s">
        <v>309</v>
      </c>
      <c r="I128" s="46" t="s">
        <v>159</v>
      </c>
    </row>
    <row r="129">
      <c r="A129" s="44" t="str">
        <f t="array" ref="A129">INDEX('Aggregated - Bill of material'!$A$38:$A$66, MATCH(D129, 'Aggregated - Bill of material'!$B$38:$B$66, 0))</f>
        <v>E28</v>
      </c>
      <c r="B129" s="45" t="s">
        <v>38</v>
      </c>
      <c r="C129" s="45" t="s">
        <v>170</v>
      </c>
      <c r="D129" s="45" t="s">
        <v>310</v>
      </c>
      <c r="E129" s="62">
        <v>1.0</v>
      </c>
      <c r="F129" s="45" t="s">
        <v>311</v>
      </c>
      <c r="G129" s="45" t="s">
        <v>312</v>
      </c>
      <c r="I129" s="46" t="s">
        <v>159</v>
      </c>
    </row>
    <row r="130">
      <c r="A130" s="44" t="str">
        <f t="array" ref="A130">INDEX('Aggregated - Bill of material'!$A$38:$A$66, MATCH(D130, 'Aggregated - Bill of material'!$B$38:$B$66, 0))</f>
        <v>E03</v>
      </c>
      <c r="B130" s="45" t="s">
        <v>38</v>
      </c>
      <c r="C130" s="45" t="s">
        <v>111</v>
      </c>
      <c r="D130" s="45" t="s">
        <v>313</v>
      </c>
      <c r="E130" s="62" t="s">
        <v>314</v>
      </c>
      <c r="F130" s="45" t="s">
        <v>315</v>
      </c>
      <c r="G130" s="45" t="s">
        <v>316</v>
      </c>
      <c r="I130" s="46" t="s">
        <v>159</v>
      </c>
    </row>
    <row r="131">
      <c r="A131" s="44" t="str">
        <f t="array" ref="A131">INDEX('Aggregated - Bill of material'!$A$38:$A$66, MATCH(D131, 'Aggregated - Bill of material'!$B$38:$B$66, 0))</f>
        <v>E16</v>
      </c>
      <c r="B131" s="45" t="s">
        <v>38</v>
      </c>
      <c r="C131" s="45" t="s">
        <v>170</v>
      </c>
      <c r="D131" s="45" t="s">
        <v>317</v>
      </c>
      <c r="E131" s="62">
        <v>4.0</v>
      </c>
      <c r="F131" s="45" t="s">
        <v>318</v>
      </c>
      <c r="H131" s="45" t="s">
        <v>319</v>
      </c>
      <c r="I131" s="46" t="s">
        <v>159</v>
      </c>
    </row>
    <row r="132">
      <c r="A132" s="44" t="str">
        <f t="array" ref="A132">INDEX('Aggregated - Bill of material'!$A$38:$A$66, MATCH(D132, 'Aggregated - Bill of material'!$B$38:$B$66, 0))</f>
        <v>E10</v>
      </c>
      <c r="B132" s="45" t="s">
        <v>38</v>
      </c>
      <c r="C132" s="45" t="s">
        <v>170</v>
      </c>
      <c r="D132" s="45" t="s">
        <v>320</v>
      </c>
      <c r="E132" s="62">
        <v>1.0</v>
      </c>
      <c r="F132" s="45" t="s">
        <v>321</v>
      </c>
      <c r="H132" s="45" t="s">
        <v>322</v>
      </c>
      <c r="I132" s="46" t="s">
        <v>159</v>
      </c>
    </row>
    <row r="133">
      <c r="A133" s="44" t="str">
        <f t="array" ref="A133">INDEX('Aggregated - Bill of material'!$A$38:$A$66, MATCH(D133, 'Aggregated - Bill of material'!$B$38:$B$66, 0))</f>
        <v>E09</v>
      </c>
      <c r="B133" s="45" t="s">
        <v>38</v>
      </c>
      <c r="C133" s="45" t="s">
        <v>170</v>
      </c>
      <c r="D133" s="45" t="s">
        <v>323</v>
      </c>
      <c r="E133" s="62">
        <v>1.0</v>
      </c>
      <c r="F133" s="45" t="s">
        <v>324</v>
      </c>
      <c r="H133" s="45" t="s">
        <v>325</v>
      </c>
      <c r="I133" s="46" t="s">
        <v>159</v>
      </c>
    </row>
    <row r="134">
      <c r="A134" s="44" t="str">
        <f t="array" ref="A134">INDEX('Aggregated - Bill of material'!$A$38:$A$66, MATCH(D134, 'Aggregated - Bill of material'!$B$38:$B$66, 0))</f>
        <v>E19</v>
      </c>
      <c r="B134" s="45" t="s">
        <v>38</v>
      </c>
      <c r="C134" s="45" t="s">
        <v>170</v>
      </c>
      <c r="D134" s="45" t="s">
        <v>326</v>
      </c>
      <c r="E134" s="62">
        <v>6.0</v>
      </c>
      <c r="F134" s="45" t="s">
        <v>327</v>
      </c>
      <c r="G134" s="45" t="s">
        <v>328</v>
      </c>
      <c r="H134" s="45" t="s">
        <v>329</v>
      </c>
      <c r="I134" s="46" t="s">
        <v>159</v>
      </c>
    </row>
    <row r="135">
      <c r="A135" s="44" t="str">
        <f t="array" ref="A135">INDEX('Aggregated - Bill of material'!$A$38:$A$66, MATCH(D135, 'Aggregated - Bill of material'!$B$38:$B$66, 0))</f>
        <v>E13</v>
      </c>
      <c r="B135" s="45" t="s">
        <v>38</v>
      </c>
      <c r="C135" s="45" t="s">
        <v>170</v>
      </c>
      <c r="D135" s="45" t="s">
        <v>330</v>
      </c>
      <c r="E135" s="62">
        <v>4.0</v>
      </c>
      <c r="F135" s="45" t="s">
        <v>331</v>
      </c>
      <c r="H135" s="45" t="s">
        <v>332</v>
      </c>
      <c r="I135" s="46" t="s">
        <v>159</v>
      </c>
    </row>
    <row r="136">
      <c r="A136" s="44" t="str">
        <f t="array" ref="A136">INDEX('Aggregated - Bill of material'!$A$38:$A$66, MATCH(D136, 'Aggregated - Bill of material'!$B$38:$B$66, 0))</f>
        <v>E12</v>
      </c>
      <c r="B136" s="45" t="s">
        <v>38</v>
      </c>
      <c r="C136" s="45" t="s">
        <v>170</v>
      </c>
      <c r="D136" s="45" t="s">
        <v>333</v>
      </c>
      <c r="E136" s="62">
        <v>5.0</v>
      </c>
      <c r="F136" s="45" t="s">
        <v>334</v>
      </c>
      <c r="H136" s="45" t="s">
        <v>332</v>
      </c>
      <c r="I136" s="20"/>
    </row>
    <row r="137">
      <c r="A137" s="44" t="str">
        <f t="array" ref="A137">INDEX('Aggregated - Bill of material'!$A$38:$A$66, MATCH(D137, 'Aggregated - Bill of material'!$B$38:$B$66, 0))</f>
        <v>E15</v>
      </c>
      <c r="B137" s="45" t="s">
        <v>38</v>
      </c>
      <c r="C137" s="45" t="s">
        <v>170</v>
      </c>
      <c r="D137" s="45" t="s">
        <v>335</v>
      </c>
      <c r="E137" s="62">
        <v>26.0</v>
      </c>
      <c r="F137" s="45" t="s">
        <v>336</v>
      </c>
      <c r="G137" s="45" t="s">
        <v>337</v>
      </c>
      <c r="H137" s="45" t="s">
        <v>338</v>
      </c>
      <c r="I137" s="46" t="s">
        <v>159</v>
      </c>
    </row>
    <row r="138">
      <c r="A138" s="44" t="str">
        <f t="array" ref="A138">INDEX('Aggregated - Bill of material'!$A$38:$A$66, MATCH(D138, 'Aggregated - Bill of material'!$B$38:$B$66, 0))</f>
        <v>E08</v>
      </c>
      <c r="B138" s="45" t="s">
        <v>38</v>
      </c>
      <c r="C138" s="45" t="s">
        <v>111</v>
      </c>
      <c r="D138" s="45" t="s">
        <v>339</v>
      </c>
      <c r="E138" s="62" t="s">
        <v>340</v>
      </c>
      <c r="F138" s="45" t="s">
        <v>341</v>
      </c>
      <c r="H138" s="45" t="s">
        <v>342</v>
      </c>
      <c r="I138" s="46" t="s">
        <v>159</v>
      </c>
    </row>
    <row r="139">
      <c r="A139" s="44" t="str">
        <f t="array" ref="A139">INDEX('Aggregated - Bill of material'!$A$38:$A$66, MATCH(D139, 'Aggregated - Bill of material'!$B$38:$B$66, 0))</f>
        <v>E25</v>
      </c>
      <c r="B139" s="45" t="s">
        <v>38</v>
      </c>
      <c r="C139" s="45" t="s">
        <v>175</v>
      </c>
      <c r="D139" s="45" t="s">
        <v>343</v>
      </c>
      <c r="E139" s="62">
        <v>2.0</v>
      </c>
      <c r="F139" s="45" t="s">
        <v>344</v>
      </c>
      <c r="G139" s="45" t="s">
        <v>345</v>
      </c>
      <c r="H139" s="45"/>
      <c r="I139" s="46" t="s">
        <v>159</v>
      </c>
    </row>
    <row r="140">
      <c r="A140" s="44" t="str">
        <f t="array" ref="A140">INDEX('Aggregated - Bill of material'!$A$38:$A$66, MATCH(D140, 'Aggregated - Bill of material'!$B$38:$B$66, 0))</f>
        <v>E21</v>
      </c>
      <c r="B140" s="45" t="s">
        <v>38</v>
      </c>
      <c r="C140" s="45" t="s">
        <v>175</v>
      </c>
      <c r="D140" s="45" t="s">
        <v>346</v>
      </c>
      <c r="E140" s="62">
        <v>1.0</v>
      </c>
      <c r="F140" s="45" t="s">
        <v>347</v>
      </c>
      <c r="G140" s="45" t="s">
        <v>348</v>
      </c>
      <c r="H140" s="45" t="s">
        <v>349</v>
      </c>
      <c r="I140" s="46" t="s">
        <v>159</v>
      </c>
    </row>
    <row r="141">
      <c r="A141" s="44" t="str">
        <f t="array" ref="A141">INDEX('Aggregated - Bill of material'!$A$38:$A$66, MATCH(D141, 'Aggregated - Bill of material'!$B$38:$B$66, 0))</f>
        <v>E25</v>
      </c>
      <c r="B141" s="45" t="s">
        <v>38</v>
      </c>
      <c r="C141" s="45" t="s">
        <v>175</v>
      </c>
      <c r="D141" s="45" t="s">
        <v>343</v>
      </c>
      <c r="E141" s="62">
        <v>2.0</v>
      </c>
      <c r="F141" s="45" t="s">
        <v>350</v>
      </c>
      <c r="G141" s="45" t="s">
        <v>345</v>
      </c>
      <c r="H141" s="45"/>
      <c r="I141" s="46" t="s">
        <v>159</v>
      </c>
    </row>
    <row r="142">
      <c r="A142" s="44" t="str">
        <f t="array" ref="A142">INDEX('Aggregated - Bill of material'!$A$38:$A$66, MATCH(D142, 'Aggregated - Bill of material'!$B$38:$B$66, 0))</f>
        <v>E21</v>
      </c>
      <c r="B142" s="45" t="s">
        <v>38</v>
      </c>
      <c r="C142" s="45" t="s">
        <v>175</v>
      </c>
      <c r="D142" s="45" t="s">
        <v>346</v>
      </c>
      <c r="E142" s="62">
        <v>1.0</v>
      </c>
      <c r="F142" s="45" t="s">
        <v>351</v>
      </c>
      <c r="G142" s="45" t="s">
        <v>348</v>
      </c>
      <c r="H142" s="45" t="s">
        <v>349</v>
      </c>
      <c r="I142" s="46" t="s">
        <v>159</v>
      </c>
    </row>
    <row r="143">
      <c r="A143" s="44" t="str">
        <f t="array" ref="A143">INDEX('Aggregated - Bill of material'!$A$38:$A$66, MATCH(D143, 'Aggregated - Bill of material'!$B$38:$B$66, 0))</f>
        <v>E18</v>
      </c>
      <c r="B143" s="45" t="s">
        <v>38</v>
      </c>
      <c r="C143" s="45" t="s">
        <v>201</v>
      </c>
      <c r="D143" s="45" t="s">
        <v>352</v>
      </c>
      <c r="E143" s="62">
        <v>1.0</v>
      </c>
      <c r="F143" s="45" t="s">
        <v>353</v>
      </c>
      <c r="G143" s="45" t="s">
        <v>354</v>
      </c>
      <c r="H143" s="45" t="s">
        <v>355</v>
      </c>
      <c r="I143" s="46" t="s">
        <v>159</v>
      </c>
    </row>
    <row r="144">
      <c r="A144" s="44" t="str">
        <f t="array" ref="A144">INDEX('Aggregated - Bill of material'!$A$38:$A$66, MATCH(D144, 'Aggregated - Bill of material'!$B$38:$B$66, 0))</f>
        <v>E18</v>
      </c>
      <c r="B144" s="45" t="s">
        <v>38</v>
      </c>
      <c r="C144" s="45" t="s">
        <v>201</v>
      </c>
      <c r="D144" s="45" t="s">
        <v>352</v>
      </c>
      <c r="E144" s="62">
        <v>1.0</v>
      </c>
      <c r="F144" s="45" t="s">
        <v>356</v>
      </c>
      <c r="G144" s="45" t="s">
        <v>354</v>
      </c>
      <c r="H144" s="45" t="s">
        <v>355</v>
      </c>
      <c r="I144" s="46" t="s">
        <v>159</v>
      </c>
    </row>
    <row r="145">
      <c r="A145" s="44" t="str">
        <f t="array" ref="A145">INDEX('Aggregated - Bill of material'!$A$38:$A$66, MATCH(D145, 'Aggregated - Bill of material'!$B$38:$B$66, 0))</f>
        <v>E25</v>
      </c>
      <c r="B145" s="45" t="s">
        <v>38</v>
      </c>
      <c r="C145" s="45" t="s">
        <v>201</v>
      </c>
      <c r="D145" s="45" t="s">
        <v>343</v>
      </c>
      <c r="E145" s="62">
        <v>2.0</v>
      </c>
      <c r="F145" s="45" t="s">
        <v>357</v>
      </c>
      <c r="G145" s="45" t="s">
        <v>345</v>
      </c>
      <c r="H145" s="45"/>
      <c r="I145" s="46" t="s">
        <v>159</v>
      </c>
    </row>
    <row r="146">
      <c r="A146" s="44" t="str">
        <f t="array" ref="A146">INDEX('Aggregated - Bill of material'!$A$38:$A$66, MATCH(D146, 'Aggregated - Bill of material'!$B$38:$B$66, 0))</f>
        <v>E21</v>
      </c>
      <c r="B146" s="45" t="s">
        <v>38</v>
      </c>
      <c r="C146" s="45" t="s">
        <v>201</v>
      </c>
      <c r="D146" s="45" t="s">
        <v>346</v>
      </c>
      <c r="E146" s="62">
        <v>1.0</v>
      </c>
      <c r="F146" s="45" t="s">
        <v>358</v>
      </c>
      <c r="G146" s="45" t="s">
        <v>348</v>
      </c>
      <c r="H146" s="45" t="s">
        <v>349</v>
      </c>
      <c r="I146" s="46" t="s">
        <v>159</v>
      </c>
    </row>
    <row r="147">
      <c r="A147" s="44" t="str">
        <f t="array" ref="A147">INDEX('Aggregated - Bill of material'!$A$38:$A$66, MATCH(D147, 'Aggregated - Bill of material'!$B$38:$B$66, 0))</f>
        <v>E25</v>
      </c>
      <c r="B147" s="45" t="s">
        <v>38</v>
      </c>
      <c r="C147" s="45" t="s">
        <v>201</v>
      </c>
      <c r="D147" s="45" t="s">
        <v>343</v>
      </c>
      <c r="E147" s="62">
        <v>2.0</v>
      </c>
      <c r="F147" s="45" t="s">
        <v>359</v>
      </c>
      <c r="G147" s="45" t="s">
        <v>345</v>
      </c>
      <c r="H147" s="45"/>
      <c r="I147" s="46" t="s">
        <v>159</v>
      </c>
    </row>
    <row r="148">
      <c r="A148" s="44" t="str">
        <f t="array" ref="A148">INDEX('Aggregated - Bill of material'!$A$38:$A$66, MATCH(D148, 'Aggregated - Bill of material'!$B$38:$B$66, 0))</f>
        <v>E21</v>
      </c>
      <c r="B148" s="45" t="s">
        <v>38</v>
      </c>
      <c r="C148" s="45" t="s">
        <v>201</v>
      </c>
      <c r="D148" s="45" t="s">
        <v>346</v>
      </c>
      <c r="E148" s="62">
        <v>1.0</v>
      </c>
      <c r="F148" s="45" t="s">
        <v>360</v>
      </c>
      <c r="G148" s="45" t="s">
        <v>348</v>
      </c>
      <c r="H148" s="45" t="s">
        <v>349</v>
      </c>
      <c r="I148" s="46" t="s">
        <v>159</v>
      </c>
    </row>
    <row r="149">
      <c r="A149" s="44" t="str">
        <f t="array" ref="A149">INDEX('Aggregated - Bill of material'!$A$38:$A$66, MATCH(D149, 'Aggregated - Bill of material'!$B$38:$B$66, 0))</f>
        <v>E04</v>
      </c>
      <c r="B149" s="45" t="s">
        <v>38</v>
      </c>
      <c r="C149" s="45" t="s">
        <v>201</v>
      </c>
      <c r="D149" s="45" t="s">
        <v>361</v>
      </c>
      <c r="E149" s="62">
        <v>1.0</v>
      </c>
      <c r="F149" s="45" t="s">
        <v>362</v>
      </c>
      <c r="G149" s="45" t="s">
        <v>363</v>
      </c>
      <c r="I149" s="46" t="s">
        <v>159</v>
      </c>
    </row>
    <row r="150">
      <c r="A150" s="44" t="str">
        <f t="array" ref="A150">INDEX('Aggregated - Bill of material'!$A$38:$A$66, MATCH(D150, 'Aggregated - Bill of material'!$B$38:$B$66, 0))</f>
        <v>E05</v>
      </c>
      <c r="B150" s="45" t="s">
        <v>38</v>
      </c>
      <c r="C150" s="45" t="s">
        <v>201</v>
      </c>
      <c r="D150" s="45" t="s">
        <v>364</v>
      </c>
      <c r="E150" s="62">
        <v>1.0</v>
      </c>
      <c r="F150" s="45" t="s">
        <v>362</v>
      </c>
      <c r="G150" s="45" t="s">
        <v>365</v>
      </c>
      <c r="H150" s="45"/>
      <c r="I150" s="46" t="s">
        <v>159</v>
      </c>
    </row>
    <row r="151">
      <c r="A151" s="44" t="str">
        <f t="array" ref="A151">INDEX('Aggregated - Bill of material'!$A$38:$A$66, MATCH(D151, 'Aggregated - Bill of material'!$B$38:$B$66, 0))</f>
        <v>E11</v>
      </c>
      <c r="B151" s="45" t="s">
        <v>38</v>
      </c>
      <c r="C151" s="45" t="s">
        <v>201</v>
      </c>
      <c r="D151" s="45" t="s">
        <v>366</v>
      </c>
      <c r="E151" s="62">
        <v>1.0</v>
      </c>
      <c r="F151" s="45" t="s">
        <v>367</v>
      </c>
      <c r="G151" s="45" t="s">
        <v>368</v>
      </c>
      <c r="I151" s="46" t="s">
        <v>159</v>
      </c>
    </row>
    <row r="152">
      <c r="A152" s="44" t="str">
        <f t="array" ref="A152">INDEX('Aggregated - Bill of material'!$A$38:$A$66, MATCH(D152, 'Aggregated - Bill of material'!$B$38:$B$66, 0))</f>
        <v>E18</v>
      </c>
      <c r="B152" s="45" t="s">
        <v>38</v>
      </c>
      <c r="C152" s="45" t="s">
        <v>201</v>
      </c>
      <c r="D152" s="45" t="s">
        <v>352</v>
      </c>
      <c r="E152" s="62">
        <v>1.0</v>
      </c>
      <c r="F152" s="45" t="s">
        <v>369</v>
      </c>
      <c r="G152" s="45" t="s">
        <v>354</v>
      </c>
      <c r="I152" s="46" t="s">
        <v>159</v>
      </c>
    </row>
    <row r="153">
      <c r="A153" s="44" t="str">
        <f t="array" ref="A153">INDEX('Aggregated - Bill of material'!$A$38:$A$66, MATCH(D153, 'Aggregated - Bill of material'!$B$38:$B$66, 0))</f>
        <v>E25</v>
      </c>
      <c r="B153" s="45" t="s">
        <v>38</v>
      </c>
      <c r="C153" s="45" t="s">
        <v>201</v>
      </c>
      <c r="D153" s="45" t="s">
        <v>343</v>
      </c>
      <c r="E153" s="62">
        <v>2.0</v>
      </c>
      <c r="F153" s="45" t="s">
        <v>370</v>
      </c>
      <c r="G153" s="45" t="s">
        <v>345</v>
      </c>
      <c r="H153" s="45"/>
      <c r="I153" s="46" t="s">
        <v>159</v>
      </c>
    </row>
    <row r="154">
      <c r="A154" s="44" t="str">
        <f t="array" ref="A154">INDEX('Aggregated - Bill of material'!$A$38:$A$66, MATCH(D154, 'Aggregated - Bill of material'!$B$38:$B$66, 0))</f>
        <v>E21</v>
      </c>
      <c r="B154" s="45" t="s">
        <v>38</v>
      </c>
      <c r="C154" s="45" t="s">
        <v>201</v>
      </c>
      <c r="D154" s="45" t="s">
        <v>346</v>
      </c>
      <c r="E154" s="62">
        <v>1.0</v>
      </c>
      <c r="F154" s="45" t="s">
        <v>371</v>
      </c>
      <c r="G154" s="45" t="s">
        <v>348</v>
      </c>
      <c r="H154" s="45"/>
      <c r="I154" s="46" t="s">
        <v>159</v>
      </c>
    </row>
    <row r="155">
      <c r="A155" s="44" t="str">
        <f t="array" ref="A155">INDEX('Aggregated - Bill of material'!$A$38:$A$66, MATCH(D155, 'Aggregated - Bill of material'!$B$38:$B$66, 0))</f>
        <v>E20</v>
      </c>
      <c r="B155" s="45" t="s">
        <v>38</v>
      </c>
      <c r="C155" s="45" t="s">
        <v>201</v>
      </c>
      <c r="D155" s="39" t="s">
        <v>372</v>
      </c>
      <c r="E155" s="63">
        <v>1.0</v>
      </c>
      <c r="F155" s="39" t="s">
        <v>373</v>
      </c>
      <c r="G155" s="39"/>
      <c r="H155" s="39" t="s">
        <v>374</v>
      </c>
      <c r="I155" s="40" t="s">
        <v>159</v>
      </c>
    </row>
    <row r="156">
      <c r="A156" s="64" t="s">
        <v>68</v>
      </c>
      <c r="B156" s="49" t="s">
        <v>38</v>
      </c>
      <c r="C156" s="49" t="s">
        <v>201</v>
      </c>
      <c r="D156" s="31" t="s">
        <v>69</v>
      </c>
      <c r="E156" s="65">
        <v>1.0</v>
      </c>
      <c r="F156" s="31" t="s">
        <v>375</v>
      </c>
      <c r="G156" s="31"/>
      <c r="H156" s="31"/>
      <c r="I156" s="32" t="s">
        <v>159</v>
      </c>
    </row>
    <row r="157">
      <c r="A157" s="51"/>
      <c r="B157" s="51"/>
      <c r="C157" s="51"/>
      <c r="D157" s="45"/>
      <c r="E157" s="62"/>
      <c r="F157" s="45"/>
      <c r="H157" s="45"/>
      <c r="I157" s="45"/>
    </row>
    <row r="158">
      <c r="A158" s="9" t="s">
        <v>376</v>
      </c>
      <c r="B158" s="10"/>
      <c r="C158" s="10"/>
      <c r="D158" s="10"/>
      <c r="E158" s="10"/>
      <c r="F158" s="10"/>
      <c r="G158" s="10"/>
      <c r="H158" s="10"/>
      <c r="I158" s="11"/>
    </row>
    <row r="159">
      <c r="A159" s="12" t="s">
        <v>9</v>
      </c>
      <c r="B159" s="42" t="s">
        <v>145</v>
      </c>
      <c r="C159" s="42" t="s">
        <v>146</v>
      </c>
      <c r="D159" s="42" t="s">
        <v>147</v>
      </c>
      <c r="E159" s="42" t="s">
        <v>150</v>
      </c>
      <c r="F159" s="42" t="s">
        <v>151</v>
      </c>
      <c r="G159" s="42" t="s">
        <v>152</v>
      </c>
      <c r="H159" s="42" t="s">
        <v>249</v>
      </c>
      <c r="I159" s="43" t="s">
        <v>153</v>
      </c>
      <c r="J159" s="59" t="s">
        <v>377</v>
      </c>
      <c r="K159" s="59" t="s">
        <v>378</v>
      </c>
    </row>
    <row r="160">
      <c r="A160" s="57" t="str">
        <f t="array" ref="A160">INDEX('Aggregated - Bill of material'!$A$71:$A$110, MATCH(D160, 'Aggregated - Bill of material'!$B$71:$B$110, 0))</f>
        <v>P14</v>
      </c>
      <c r="B160" s="45" t="s">
        <v>376</v>
      </c>
      <c r="C160" s="45" t="s">
        <v>155</v>
      </c>
      <c r="D160" s="45" t="s">
        <v>379</v>
      </c>
      <c r="E160" s="45">
        <v>1.0</v>
      </c>
      <c r="F160" s="45" t="s">
        <v>380</v>
      </c>
      <c r="I160" s="46" t="s">
        <v>159</v>
      </c>
    </row>
    <row r="161">
      <c r="A161" s="57" t="str">
        <f t="array" ref="A161">INDEX('Aggregated - Bill of material'!$A$71:$A$110, MATCH(D161, 'Aggregated - Bill of material'!$B$71:$B$110, 0))</f>
        <v>P12</v>
      </c>
      <c r="B161" s="45" t="s">
        <v>376</v>
      </c>
      <c r="C161" s="45" t="s">
        <v>155</v>
      </c>
      <c r="D161" s="45" t="s">
        <v>381</v>
      </c>
      <c r="E161" s="45">
        <v>1.0</v>
      </c>
      <c r="F161" s="45" t="s">
        <v>382</v>
      </c>
      <c r="I161" s="46" t="s">
        <v>159</v>
      </c>
    </row>
    <row r="162">
      <c r="A162" s="57" t="str">
        <f t="array" ref="A162">INDEX('Aggregated - Bill of material'!$A$71:$A$110, MATCH(D162, 'Aggregated - Bill of material'!$B$71:$B$110, 0))</f>
        <v>P01</v>
      </c>
      <c r="B162" s="45" t="s">
        <v>376</v>
      </c>
      <c r="C162" s="45" t="s">
        <v>155</v>
      </c>
      <c r="D162" s="45" t="s">
        <v>383</v>
      </c>
      <c r="E162" s="45">
        <v>1.0</v>
      </c>
      <c r="F162" s="45" t="s">
        <v>384</v>
      </c>
      <c r="I162" s="20"/>
    </row>
    <row r="163">
      <c r="A163" s="57" t="str">
        <f t="array" ref="A163">INDEX('Aggregated - Bill of material'!$A$71:$A$110, MATCH(D163, 'Aggregated - Bill of material'!$B$71:$B$110, 0))</f>
        <v>P03</v>
      </c>
      <c r="B163" s="45" t="s">
        <v>376</v>
      </c>
      <c r="C163" s="45" t="s">
        <v>155</v>
      </c>
      <c r="D163" s="45" t="s">
        <v>385</v>
      </c>
      <c r="E163" s="45">
        <v>1.0</v>
      </c>
      <c r="F163" s="45" t="s">
        <v>386</v>
      </c>
      <c r="I163" s="46" t="s">
        <v>159</v>
      </c>
    </row>
    <row r="164">
      <c r="A164" s="57" t="str">
        <f t="array" ref="A164">INDEX('Aggregated - Bill of material'!$A$71:$A$110, MATCH(D164, 'Aggregated - Bill of material'!$B$71:$B$110, 0))</f>
        <v>P11</v>
      </c>
      <c r="B164" s="45" t="s">
        <v>376</v>
      </c>
      <c r="C164" s="45" t="s">
        <v>111</v>
      </c>
      <c r="D164" s="45" t="s">
        <v>387</v>
      </c>
      <c r="E164" s="45">
        <v>8.0</v>
      </c>
      <c r="F164" s="45" t="s">
        <v>388</v>
      </c>
      <c r="H164" s="45" t="s">
        <v>389</v>
      </c>
      <c r="I164" s="46" t="s">
        <v>159</v>
      </c>
    </row>
    <row r="165">
      <c r="A165" s="57" t="str">
        <f t="array" ref="A165">INDEX('Aggregated - Bill of material'!$A$71:$A$110, MATCH(D165, 'Aggregated - Bill of material'!$B$71:$B$110, 0))</f>
        <v>P15</v>
      </c>
      <c r="B165" s="45" t="s">
        <v>376</v>
      </c>
      <c r="C165" s="45" t="s">
        <v>170</v>
      </c>
      <c r="D165" s="45" t="s">
        <v>390</v>
      </c>
      <c r="E165" s="45">
        <v>1.0</v>
      </c>
      <c r="F165" s="45" t="s">
        <v>391</v>
      </c>
      <c r="I165" s="46" t="s">
        <v>159</v>
      </c>
    </row>
    <row r="166">
      <c r="A166" s="57" t="str">
        <f t="array" ref="A166">INDEX('Aggregated - Bill of material'!$A$71:$A$110, MATCH(D166, 'Aggregated - Bill of material'!$B$71:$B$110, 0))</f>
        <v>P13</v>
      </c>
      <c r="B166" s="45" t="s">
        <v>376</v>
      </c>
      <c r="C166" s="45" t="s">
        <v>170</v>
      </c>
      <c r="D166" s="45" t="s">
        <v>392</v>
      </c>
      <c r="E166" s="45">
        <v>1.0</v>
      </c>
      <c r="F166" s="45" t="s">
        <v>393</v>
      </c>
      <c r="I166" s="46" t="s">
        <v>159</v>
      </c>
    </row>
    <row r="167">
      <c r="A167" s="57" t="str">
        <f t="array" ref="A167">INDEX('Aggregated - Bill of material'!$A$71:$A$110, MATCH(D167, 'Aggregated - Bill of material'!$B$71:$B$110, 0))</f>
        <v>P02</v>
      </c>
      <c r="B167" s="45" t="s">
        <v>376</v>
      </c>
      <c r="C167" s="45" t="s">
        <v>170</v>
      </c>
      <c r="D167" s="45" t="s">
        <v>394</v>
      </c>
      <c r="E167" s="45">
        <v>1.0</v>
      </c>
      <c r="F167" s="45" t="s">
        <v>395</v>
      </c>
      <c r="I167" s="46" t="s">
        <v>159</v>
      </c>
    </row>
    <row r="168" ht="17.25" customHeight="1">
      <c r="A168" s="57" t="str">
        <f t="array" ref="A168">INDEX('Aggregated - Bill of material'!$A$71:$A$110, MATCH(D168, 'Aggregated - Bill of material'!$B$71:$B$110, 0))</f>
        <v>P04</v>
      </c>
      <c r="B168" s="45" t="s">
        <v>376</v>
      </c>
      <c r="C168" s="45" t="s">
        <v>170</v>
      </c>
      <c r="D168" s="45" t="s">
        <v>396</v>
      </c>
      <c r="E168" s="45">
        <v>1.0</v>
      </c>
      <c r="F168" s="45" t="s">
        <v>397</v>
      </c>
      <c r="I168" s="46" t="s">
        <v>159</v>
      </c>
    </row>
    <row r="169">
      <c r="A169" s="57" t="str">
        <f t="array" ref="A169">INDEX('Aggregated - Bill of material'!$A$71:$A$110, MATCH(D169, 'Aggregated - Bill of material'!$B$71:$B$110, 0))</f>
        <v>P33</v>
      </c>
      <c r="B169" s="45" t="s">
        <v>376</v>
      </c>
      <c r="C169" s="45" t="s">
        <v>170</v>
      </c>
      <c r="D169" s="45" t="s">
        <v>398</v>
      </c>
      <c r="E169" s="45">
        <v>1.0</v>
      </c>
      <c r="F169" s="45" t="s">
        <v>399</v>
      </c>
      <c r="H169" s="45" t="s">
        <v>400</v>
      </c>
      <c r="I169" s="46" t="s">
        <v>159</v>
      </c>
    </row>
    <row r="170">
      <c r="A170" s="57" t="str">
        <f t="array" ref="A170">INDEX('Aggregated - Bill of material'!$A$71:$A$110, MATCH(D170, 'Aggregated - Bill of material'!$B$71:$B$110, 0))</f>
        <v>P25</v>
      </c>
      <c r="B170" s="45" t="s">
        <v>376</v>
      </c>
      <c r="C170" s="45" t="s">
        <v>111</v>
      </c>
      <c r="D170" s="45" t="s">
        <v>401</v>
      </c>
      <c r="E170" s="45">
        <v>3.0</v>
      </c>
      <c r="F170" s="45" t="s">
        <v>402</v>
      </c>
      <c r="G170" s="45" t="s">
        <v>403</v>
      </c>
      <c r="I170" s="46" t="s">
        <v>159</v>
      </c>
    </row>
    <row r="171">
      <c r="A171" s="57" t="str">
        <f t="array" ref="A171">INDEX('Aggregated - Bill of material'!$A$71:$A$110, MATCH(D171, 'Aggregated - Bill of material'!$B$71:$B$110, 0))</f>
        <v>P37</v>
      </c>
      <c r="B171" s="45" t="s">
        <v>376</v>
      </c>
      <c r="C171" s="45" t="s">
        <v>175</v>
      </c>
      <c r="D171" s="45" t="s">
        <v>404</v>
      </c>
      <c r="E171" s="45">
        <v>7.0</v>
      </c>
      <c r="F171" s="45" t="s">
        <v>405</v>
      </c>
      <c r="G171" s="45" t="s">
        <v>403</v>
      </c>
      <c r="I171" s="46" t="s">
        <v>159</v>
      </c>
    </row>
    <row r="172">
      <c r="A172" s="57" t="str">
        <f t="array" ref="A172">INDEX('Aggregated - Bill of material'!$A$71:$A$110, MATCH(D172, 'Aggregated - Bill of material'!$B$71:$B$110, 0))</f>
        <v>P05</v>
      </c>
      <c r="B172" s="45" t="s">
        <v>376</v>
      </c>
      <c r="C172" s="45" t="s">
        <v>175</v>
      </c>
      <c r="D172" s="45" t="s">
        <v>406</v>
      </c>
      <c r="E172" s="45">
        <v>1.0</v>
      </c>
      <c r="F172" s="45" t="s">
        <v>407</v>
      </c>
      <c r="H172" s="45" t="s">
        <v>408</v>
      </c>
      <c r="I172" s="46" t="s">
        <v>159</v>
      </c>
    </row>
    <row r="173">
      <c r="A173" s="57" t="str">
        <f t="array" ref="A173">INDEX('Aggregated - Bill of material'!$A$71:$A$110, MATCH(D173, 'Aggregated - Bill of material'!$B$71:$B$110, 0))</f>
        <v>P06</v>
      </c>
      <c r="B173" s="45" t="s">
        <v>376</v>
      </c>
      <c r="C173" s="45" t="s">
        <v>175</v>
      </c>
      <c r="D173" s="45" t="s">
        <v>409</v>
      </c>
      <c r="E173" s="45">
        <v>1.0</v>
      </c>
      <c r="F173" s="45" t="s">
        <v>410</v>
      </c>
      <c r="H173" s="45"/>
      <c r="I173" s="46" t="s">
        <v>159</v>
      </c>
    </row>
    <row r="174">
      <c r="A174" s="57" t="str">
        <f t="array" ref="A174">INDEX('Aggregated - Bill of material'!$A$71:$A$110, MATCH(D174, 'Aggregated - Bill of material'!$B$71:$B$110, 0))</f>
        <v>P17</v>
      </c>
      <c r="B174" s="45" t="s">
        <v>376</v>
      </c>
      <c r="C174" s="45" t="s">
        <v>175</v>
      </c>
      <c r="D174" s="45" t="s">
        <v>411</v>
      </c>
      <c r="E174" s="45">
        <v>1.0</v>
      </c>
      <c r="F174" s="45" t="s">
        <v>185</v>
      </c>
      <c r="H174" s="45"/>
      <c r="I174" s="46" t="s">
        <v>159</v>
      </c>
    </row>
    <row r="175">
      <c r="A175" s="57" t="str">
        <f t="array" ref="A175">INDEX('Aggregated - Bill of material'!$A$71:$A$110, MATCH(D175, 'Aggregated - Bill of material'!$B$71:$B$110, 0))</f>
        <v>P18</v>
      </c>
      <c r="B175" s="45" t="s">
        <v>376</v>
      </c>
      <c r="C175" s="45" t="s">
        <v>175</v>
      </c>
      <c r="D175" s="45" t="s">
        <v>412</v>
      </c>
      <c r="E175" s="45">
        <v>1.0</v>
      </c>
      <c r="F175" s="45" t="s">
        <v>185</v>
      </c>
      <c r="H175" s="45"/>
      <c r="I175" s="46" t="s">
        <v>159</v>
      </c>
    </row>
    <row r="176">
      <c r="A176" s="57" t="str">
        <f t="array" ref="A176">INDEX('Aggregated - Bill of material'!$A$71:$A$110, MATCH(D176, 'Aggregated - Bill of material'!$B$71:$B$110, 0))</f>
        <v>P08</v>
      </c>
      <c r="B176" s="45" t="s">
        <v>376</v>
      </c>
      <c r="C176" s="45" t="s">
        <v>175</v>
      </c>
      <c r="D176" s="45" t="s">
        <v>413</v>
      </c>
      <c r="E176" s="45">
        <v>1.0</v>
      </c>
      <c r="F176" s="45" t="s">
        <v>414</v>
      </c>
      <c r="H176" s="45" t="s">
        <v>415</v>
      </c>
      <c r="I176" s="46" t="s">
        <v>159</v>
      </c>
    </row>
    <row r="177">
      <c r="A177" s="57" t="str">
        <f t="array" ref="A177">INDEX('Aggregated - Bill of material'!$A$71:$A$110, MATCH(D177, 'Aggregated - Bill of material'!$B$71:$B$110, 0))</f>
        <v>P19</v>
      </c>
      <c r="B177" s="45" t="s">
        <v>376</v>
      </c>
      <c r="C177" s="45" t="s">
        <v>175</v>
      </c>
      <c r="D177" s="45" t="s">
        <v>416</v>
      </c>
      <c r="E177" s="45">
        <v>1.0</v>
      </c>
      <c r="F177" s="45" t="s">
        <v>185</v>
      </c>
      <c r="H177" s="45"/>
      <c r="I177" s="46" t="s">
        <v>159</v>
      </c>
    </row>
    <row r="178">
      <c r="A178" s="57" t="str">
        <f t="array" ref="A178">INDEX('Aggregated - Bill of material'!$A$71:$A$110, MATCH(D178, 'Aggregated - Bill of material'!$B$71:$B$110, 0))</f>
        <v>P09</v>
      </c>
      <c r="B178" s="45" t="s">
        <v>376</v>
      </c>
      <c r="C178" s="45" t="s">
        <v>175</v>
      </c>
      <c r="D178" s="45" t="s">
        <v>417</v>
      </c>
      <c r="E178" s="45">
        <v>1.0</v>
      </c>
      <c r="F178" s="45" t="s">
        <v>418</v>
      </c>
      <c r="H178" s="45"/>
      <c r="I178" s="46" t="s">
        <v>159</v>
      </c>
    </row>
    <row r="179">
      <c r="A179" s="57" t="str">
        <f t="array" ref="A179">INDEX('Aggregated - Bill of material'!$A$71:$A$110, MATCH(D179, 'Aggregated - Bill of material'!$B$71:$B$110, 0))</f>
        <v>P26</v>
      </c>
      <c r="B179" s="45" t="s">
        <v>376</v>
      </c>
      <c r="C179" s="45" t="s">
        <v>175</v>
      </c>
      <c r="D179" s="45" t="s">
        <v>419</v>
      </c>
      <c r="E179" s="45">
        <v>1.0</v>
      </c>
      <c r="F179" s="45" t="s">
        <v>197</v>
      </c>
      <c r="H179" s="45"/>
      <c r="I179" s="46" t="s">
        <v>159</v>
      </c>
    </row>
    <row r="180">
      <c r="A180" s="57" t="str">
        <f t="array" ref="A180">INDEX('Aggregated - Bill of material'!$A$71:$A$110, MATCH(D180, 'Aggregated - Bill of material'!$B$71:$B$110, 0))</f>
        <v>P27</v>
      </c>
      <c r="B180" s="45" t="s">
        <v>376</v>
      </c>
      <c r="C180" s="45" t="s">
        <v>175</v>
      </c>
      <c r="D180" s="45" t="s">
        <v>420</v>
      </c>
      <c r="E180" s="45">
        <v>1.0</v>
      </c>
      <c r="F180" s="45" t="s">
        <v>197</v>
      </c>
      <c r="H180" s="45"/>
      <c r="I180" s="46" t="s">
        <v>159</v>
      </c>
    </row>
    <row r="181">
      <c r="A181" s="57" t="str">
        <f t="array" ref="A181">INDEX('Aggregated - Bill of material'!$A$71:$A$110, MATCH(D181, 'Aggregated - Bill of material'!$B$71:$B$110, 0))</f>
        <v>P28</v>
      </c>
      <c r="B181" s="45" t="s">
        <v>376</v>
      </c>
      <c r="C181" s="45" t="s">
        <v>175</v>
      </c>
      <c r="D181" s="45" t="s">
        <v>421</v>
      </c>
      <c r="E181" s="45">
        <v>1.0</v>
      </c>
      <c r="F181" s="45" t="s">
        <v>197</v>
      </c>
      <c r="H181" s="45"/>
      <c r="I181" s="46" t="s">
        <v>159</v>
      </c>
    </row>
    <row r="182">
      <c r="A182" s="57" t="str">
        <f t="array" ref="A182">INDEX('Aggregated - Bill of material'!$A$71:$A$110, MATCH(D182, 'Aggregated - Bill of material'!$B$71:$B$110, 0))</f>
        <v>P08</v>
      </c>
      <c r="B182" s="45" t="s">
        <v>376</v>
      </c>
      <c r="C182" s="45" t="s">
        <v>175</v>
      </c>
      <c r="D182" s="66" t="s">
        <v>413</v>
      </c>
      <c r="E182" s="45">
        <v>1.0</v>
      </c>
      <c r="F182" s="45" t="s">
        <v>422</v>
      </c>
      <c r="H182" s="45"/>
      <c r="I182" s="46" t="s">
        <v>159</v>
      </c>
    </row>
    <row r="183">
      <c r="A183" s="57" t="str">
        <f t="array" ref="A183">INDEX('Aggregated - Bill of material'!$A$71:$A$110, MATCH(D183, 'Aggregated - Bill of material'!$B$71:$B$110, 0))</f>
        <v>P16</v>
      </c>
      <c r="B183" s="45" t="s">
        <v>376</v>
      </c>
      <c r="C183" s="45" t="s">
        <v>201</v>
      </c>
      <c r="D183" s="45" t="s">
        <v>423</v>
      </c>
      <c r="E183" s="45">
        <v>1.0</v>
      </c>
      <c r="F183" s="45" t="s">
        <v>203</v>
      </c>
      <c r="H183" s="45"/>
      <c r="I183" s="46" t="s">
        <v>159</v>
      </c>
    </row>
    <row r="184">
      <c r="A184" s="57" t="str">
        <f t="array" ref="A184">INDEX('Aggregated - Bill of material'!$A$71:$A$110, MATCH(D184, 'Aggregated - Bill of material'!$B$71:$B$110, 0))</f>
        <v>P16</v>
      </c>
      <c r="B184" s="45" t="s">
        <v>376</v>
      </c>
      <c r="C184" s="45" t="s">
        <v>201</v>
      </c>
      <c r="D184" s="45" t="s">
        <v>423</v>
      </c>
      <c r="E184" s="45">
        <v>1.0</v>
      </c>
      <c r="F184" s="45" t="s">
        <v>205</v>
      </c>
      <c r="H184" s="45"/>
      <c r="I184" s="46" t="s">
        <v>159</v>
      </c>
    </row>
    <row r="185">
      <c r="A185" s="57" t="str">
        <f t="array" ref="A185">INDEX('Aggregated - Bill of material'!$A$71:$A$110, MATCH(D185, 'Aggregated - Bill of material'!$B$71:$B$110, 0))</f>
        <v>P20</v>
      </c>
      <c r="B185" s="45" t="s">
        <v>376</v>
      </c>
      <c r="C185" s="45" t="s">
        <v>201</v>
      </c>
      <c r="D185" s="45" t="s">
        <v>424</v>
      </c>
      <c r="E185" s="45">
        <v>1.0</v>
      </c>
      <c r="F185" s="45" t="s">
        <v>425</v>
      </c>
      <c r="H185" s="45"/>
      <c r="I185" s="46" t="s">
        <v>159</v>
      </c>
    </row>
    <row r="186">
      <c r="A186" s="57" t="str">
        <f t="array" ref="A186">INDEX('Aggregated - Bill of material'!$A$71:$A$110, MATCH(D186, 'Aggregated - Bill of material'!$B$71:$B$110, 0))</f>
        <v>P23</v>
      </c>
      <c r="B186" s="45" t="s">
        <v>376</v>
      </c>
      <c r="C186" s="45" t="s">
        <v>201</v>
      </c>
      <c r="D186" s="45" t="s">
        <v>426</v>
      </c>
      <c r="E186" s="45">
        <v>1.0</v>
      </c>
      <c r="F186" s="45" t="s">
        <v>427</v>
      </c>
      <c r="H186" s="45"/>
      <c r="I186" s="46" t="s">
        <v>159</v>
      </c>
    </row>
    <row r="187">
      <c r="A187" s="57" t="str">
        <f t="array" ref="A187">INDEX('Aggregated - Bill of material'!$A$71:$A$110, MATCH(D187, 'Aggregated - Bill of material'!$B$71:$B$110, 0))</f>
        <v>P22</v>
      </c>
      <c r="B187" s="45" t="s">
        <v>376</v>
      </c>
      <c r="C187" s="45" t="s">
        <v>201</v>
      </c>
      <c r="D187" s="45" t="s">
        <v>428</v>
      </c>
      <c r="E187" s="45">
        <v>1.0</v>
      </c>
      <c r="F187" s="45" t="s">
        <v>429</v>
      </c>
      <c r="H187" s="45"/>
      <c r="I187" s="46" t="s">
        <v>159</v>
      </c>
    </row>
    <row r="188">
      <c r="A188" s="57" t="str">
        <f t="array" ref="A188">INDEX('Aggregated - Bill of material'!$A$71:$A$110, MATCH(D188, 'Aggregated - Bill of material'!$B$71:$B$110, 0))</f>
        <v>P21</v>
      </c>
      <c r="B188" s="45" t="s">
        <v>376</v>
      </c>
      <c r="C188" s="45" t="s">
        <v>201</v>
      </c>
      <c r="D188" s="45" t="s">
        <v>430</v>
      </c>
      <c r="E188" s="45">
        <v>1.0</v>
      </c>
      <c r="F188" s="45" t="s">
        <v>431</v>
      </c>
      <c r="H188" s="45"/>
      <c r="I188" s="46" t="s">
        <v>159</v>
      </c>
    </row>
    <row r="189">
      <c r="A189" s="57" t="str">
        <f t="array" ref="A189">INDEX('Aggregated - Bill of material'!$A$71:$A$110, MATCH(D189, 'Aggregated - Bill of material'!$B$71:$B$110, 0))</f>
        <v>P29</v>
      </c>
      <c r="B189" s="45" t="s">
        <v>376</v>
      </c>
      <c r="C189" s="45" t="s">
        <v>201</v>
      </c>
      <c r="D189" s="45" t="s">
        <v>432</v>
      </c>
      <c r="E189" s="45">
        <v>1.0</v>
      </c>
      <c r="F189" s="45" t="s">
        <v>433</v>
      </c>
      <c r="H189" s="45"/>
      <c r="I189" s="46" t="s">
        <v>159</v>
      </c>
    </row>
    <row r="190">
      <c r="A190" s="57" t="str">
        <f t="array" ref="A190">INDEX('Aggregated - Bill of material'!$A$71:$A$110, MATCH(D190, 'Aggregated - Bill of material'!$B$71:$B$110, 0))</f>
        <v>P32</v>
      </c>
      <c r="B190" s="45" t="s">
        <v>376</v>
      </c>
      <c r="C190" s="45" t="s">
        <v>201</v>
      </c>
      <c r="D190" s="45" t="s">
        <v>434</v>
      </c>
      <c r="E190" s="45">
        <v>1.0</v>
      </c>
      <c r="F190" s="45" t="s">
        <v>435</v>
      </c>
      <c r="H190" s="45"/>
      <c r="I190" s="46" t="s">
        <v>159</v>
      </c>
    </row>
    <row r="191">
      <c r="A191" s="57" t="str">
        <f t="array" ref="A191">INDEX('Aggregated - Bill of material'!$A$71:$A$110, MATCH(D191, 'Aggregated - Bill of material'!$B$71:$B$110, 0))</f>
        <v>P31</v>
      </c>
      <c r="B191" s="45" t="s">
        <v>376</v>
      </c>
      <c r="C191" s="45" t="s">
        <v>201</v>
      </c>
      <c r="D191" s="45" t="s">
        <v>436</v>
      </c>
      <c r="E191" s="45">
        <v>1.0</v>
      </c>
      <c r="F191" s="45" t="s">
        <v>437</v>
      </c>
      <c r="H191" s="45"/>
      <c r="I191" s="46" t="s">
        <v>159</v>
      </c>
    </row>
    <row r="192">
      <c r="A192" s="57" t="str">
        <f t="array" ref="A192">INDEX('Aggregated - Bill of material'!$A$71:$A$110, MATCH(D192, 'Aggregated - Bill of material'!$B$71:$B$110, 0))</f>
        <v>P30</v>
      </c>
      <c r="B192" s="45" t="s">
        <v>376</v>
      </c>
      <c r="C192" s="45" t="s">
        <v>201</v>
      </c>
      <c r="D192" s="45" t="s">
        <v>438</v>
      </c>
      <c r="E192" s="45">
        <v>1.0</v>
      </c>
      <c r="F192" s="45" t="s">
        <v>439</v>
      </c>
      <c r="H192" s="45"/>
      <c r="I192" s="46" t="s">
        <v>159</v>
      </c>
    </row>
    <row r="193">
      <c r="A193" s="57" t="str">
        <f t="array" ref="A193">INDEX('Aggregated - Bill of material'!$A$71:$A$110, MATCH(D193, 'Aggregated - Bill of material'!$B$71:$B$110, 0))</f>
        <v>P27</v>
      </c>
      <c r="B193" s="45" t="s">
        <v>376</v>
      </c>
      <c r="C193" s="45" t="s">
        <v>201</v>
      </c>
      <c r="D193" s="45" t="s">
        <v>420</v>
      </c>
      <c r="E193" s="45">
        <v>1.0</v>
      </c>
      <c r="F193" s="45" t="s">
        <v>211</v>
      </c>
      <c r="H193" s="45"/>
      <c r="I193" s="46" t="s">
        <v>159</v>
      </c>
    </row>
    <row r="194">
      <c r="A194" s="57" t="str">
        <f t="array" ref="A194">INDEX('Aggregated - Bill of material'!$A$71:$A$110, MATCH(D194, 'Aggregated - Bill of material'!$B$71:$B$110, 0))</f>
        <v>P28</v>
      </c>
      <c r="B194" s="45" t="s">
        <v>376</v>
      </c>
      <c r="C194" s="45" t="s">
        <v>201</v>
      </c>
      <c r="D194" s="45" t="s">
        <v>421</v>
      </c>
      <c r="E194" s="45">
        <v>1.0</v>
      </c>
      <c r="F194" s="45" t="s">
        <v>245</v>
      </c>
      <c r="H194" s="45"/>
      <c r="I194" s="46" t="s">
        <v>159</v>
      </c>
    </row>
    <row r="195">
      <c r="A195" s="57" t="str">
        <f t="array" ref="A195">INDEX('Aggregated - Bill of material'!$A$71:$A$110, MATCH(D195, 'Aggregated - Bill of material'!$B$71:$B$110, 0))</f>
        <v>P08</v>
      </c>
      <c r="B195" s="45" t="s">
        <v>376</v>
      </c>
      <c r="C195" s="45" t="s">
        <v>201</v>
      </c>
      <c r="D195" s="45" t="s">
        <v>413</v>
      </c>
      <c r="E195" s="45">
        <v>1.0</v>
      </c>
      <c r="F195" s="45" t="s">
        <v>440</v>
      </c>
      <c r="H195" s="45" t="s">
        <v>415</v>
      </c>
      <c r="I195" s="46" t="s">
        <v>159</v>
      </c>
    </row>
    <row r="196">
      <c r="A196" s="57" t="str">
        <f t="array" ref="A196">INDEX('Aggregated - Bill of material'!$A$71:$A$110, MATCH(D196, 'Aggregated - Bill of material'!$B$71:$B$110, 0))</f>
        <v>P10</v>
      </c>
      <c r="B196" s="45" t="s">
        <v>376</v>
      </c>
      <c r="C196" s="45" t="s">
        <v>201</v>
      </c>
      <c r="D196" s="45" t="s">
        <v>441</v>
      </c>
      <c r="E196" s="45">
        <v>1.0</v>
      </c>
      <c r="F196" s="45" t="s">
        <v>442</v>
      </c>
      <c r="H196" s="45" t="s">
        <v>415</v>
      </c>
      <c r="I196" s="46" t="s">
        <v>159</v>
      </c>
    </row>
    <row r="197">
      <c r="A197" s="57" t="str">
        <f t="array" ref="A197">INDEX('Aggregated - Bill of material'!$A$71:$A$110, MATCH(D197, 'Aggregated - Bill of material'!$B$71:$B$110, 0))</f>
        <v>P38</v>
      </c>
      <c r="B197" s="45" t="s">
        <v>376</v>
      </c>
      <c r="C197" s="45" t="s">
        <v>201</v>
      </c>
      <c r="D197" s="45" t="s">
        <v>443</v>
      </c>
      <c r="E197" s="45">
        <v>1.0</v>
      </c>
      <c r="F197" s="45" t="s">
        <v>444</v>
      </c>
      <c r="H197" s="45"/>
      <c r="I197" s="46" t="s">
        <v>159</v>
      </c>
    </row>
    <row r="198">
      <c r="A198" s="57" t="str">
        <f t="array" ref="A198">INDEX('Aggregated - Bill of material'!$A$71:$A$110, MATCH(D198, 'Aggregated - Bill of material'!$B$71:$B$110, 0))</f>
        <v>P40</v>
      </c>
      <c r="B198" s="45" t="s">
        <v>376</v>
      </c>
      <c r="C198" s="45" t="s">
        <v>201</v>
      </c>
      <c r="D198" s="45" t="s">
        <v>445</v>
      </c>
      <c r="E198" s="45">
        <v>1.0</v>
      </c>
      <c r="F198" s="45" t="s">
        <v>446</v>
      </c>
      <c r="H198" s="45"/>
      <c r="I198" s="46" t="s">
        <v>159</v>
      </c>
    </row>
    <row r="199">
      <c r="A199" s="57" t="str">
        <f t="array" ref="A199">INDEX('Aggregated - Bill of material'!$A$71:$A$110, MATCH(D199, 'Aggregated - Bill of material'!$B$71:$B$110, 0))</f>
        <v>P35</v>
      </c>
      <c r="B199" s="45" t="s">
        <v>376</v>
      </c>
      <c r="C199" s="45" t="s">
        <v>201</v>
      </c>
      <c r="D199" s="45" t="s">
        <v>447</v>
      </c>
      <c r="E199" s="45">
        <v>1.0</v>
      </c>
      <c r="F199" s="45" t="s">
        <v>448</v>
      </c>
      <c r="H199" s="45"/>
      <c r="I199" s="46" t="s">
        <v>159</v>
      </c>
    </row>
    <row r="200">
      <c r="A200" s="57" t="str">
        <f t="array" ref="A200">INDEX('Aggregated - Bill of material'!$A$71:$A$110, MATCH(D200, 'Aggregated - Bill of material'!$B$71:$B$110, 0))</f>
        <v>P07</v>
      </c>
      <c r="B200" s="45" t="s">
        <v>376</v>
      </c>
      <c r="C200" s="45" t="s">
        <v>201</v>
      </c>
      <c r="D200" s="45" t="s">
        <v>449</v>
      </c>
      <c r="E200" s="45">
        <v>1.0</v>
      </c>
      <c r="F200" s="45" t="s">
        <v>450</v>
      </c>
      <c r="H200" s="45"/>
      <c r="I200" s="46" t="s">
        <v>159</v>
      </c>
    </row>
    <row r="201">
      <c r="A201" s="57" t="str">
        <f t="array" ref="A201">INDEX('Aggregated - Bill of material'!$A$71:$A$110, MATCH(D201, 'Aggregated - Bill of material'!$B$71:$B$110, 0))</f>
        <v>P16</v>
      </c>
      <c r="B201" s="45" t="s">
        <v>376</v>
      </c>
      <c r="C201" s="45" t="s">
        <v>201</v>
      </c>
      <c r="D201" s="45" t="s">
        <v>423</v>
      </c>
      <c r="E201" s="45">
        <v>1.0</v>
      </c>
      <c r="F201" s="45" t="s">
        <v>230</v>
      </c>
      <c r="H201" s="45"/>
      <c r="I201" s="46" t="s">
        <v>159</v>
      </c>
    </row>
    <row r="202">
      <c r="A202" s="57" t="str">
        <f t="array" ref="A202">INDEX('Aggregated - Bill of material'!$A$71:$A$110, MATCH(D202, 'Aggregated - Bill of material'!$B$71:$B$110, 0))</f>
        <v>P36</v>
      </c>
      <c r="B202" s="45" t="s">
        <v>376</v>
      </c>
      <c r="C202" s="45" t="s">
        <v>201</v>
      </c>
      <c r="D202" s="45" t="s">
        <v>451</v>
      </c>
      <c r="E202" s="45">
        <v>1.0</v>
      </c>
      <c r="F202" s="45" t="s">
        <v>452</v>
      </c>
      <c r="H202" s="45"/>
      <c r="I202" s="46" t="s">
        <v>159</v>
      </c>
    </row>
    <row r="203">
      <c r="A203" s="57" t="str">
        <f t="array" ref="A203">INDEX('Aggregated - Bill of material'!$A$71:$A$110, MATCH(D203, 'Aggregated - Bill of material'!$B$71:$B$110, 0))</f>
        <v>P39</v>
      </c>
      <c r="B203" s="45" t="s">
        <v>376</v>
      </c>
      <c r="C203" s="45" t="s">
        <v>201</v>
      </c>
      <c r="D203" s="45" t="s">
        <v>453</v>
      </c>
      <c r="E203" s="45">
        <v>1.0</v>
      </c>
      <c r="F203" s="45" t="s">
        <v>454</v>
      </c>
      <c r="H203" s="45"/>
      <c r="I203" s="46" t="s">
        <v>159</v>
      </c>
    </row>
    <row r="204">
      <c r="A204" s="57" t="str">
        <f t="array" ref="A204">INDEX('Aggregated - Bill of material'!$A$71:$A$110, MATCH(D204, 'Aggregated - Bill of material'!$B$71:$B$110, 0))</f>
        <v>P34</v>
      </c>
      <c r="B204" s="45" t="s">
        <v>376</v>
      </c>
      <c r="C204" s="45" t="s">
        <v>201</v>
      </c>
      <c r="D204" s="45" t="s">
        <v>455</v>
      </c>
      <c r="E204" s="45">
        <v>1.0</v>
      </c>
      <c r="F204" s="45" t="s">
        <v>456</v>
      </c>
      <c r="G204" s="45" t="s">
        <v>457</v>
      </c>
      <c r="H204" s="45"/>
      <c r="I204" s="46" t="s">
        <v>159</v>
      </c>
    </row>
    <row r="205">
      <c r="A205" s="58" t="str">
        <f t="array" ref="A205">INDEX('Aggregated - Bill of material'!$A$71:$A$110, MATCH(D205, 'Aggregated - Bill of material'!$B$71:$B$110, 0))</f>
        <v>P24</v>
      </c>
      <c r="B205" s="49" t="s">
        <v>376</v>
      </c>
      <c r="C205" s="49" t="s">
        <v>201</v>
      </c>
      <c r="D205" s="49" t="s">
        <v>458</v>
      </c>
      <c r="E205" s="49">
        <v>1.0</v>
      </c>
      <c r="F205" s="49" t="s">
        <v>459</v>
      </c>
      <c r="G205" s="22"/>
      <c r="H205" s="49"/>
      <c r="I205" s="50" t="s">
        <v>159</v>
      </c>
    </row>
    <row r="206">
      <c r="A206" s="59"/>
      <c r="B206" s="59"/>
      <c r="C206" s="59"/>
      <c r="D206" s="45"/>
      <c r="E206" s="45"/>
      <c r="F206" s="45"/>
      <c r="H206" s="45"/>
      <c r="I206" s="45"/>
    </row>
    <row r="207">
      <c r="A207" s="9" t="s">
        <v>111</v>
      </c>
      <c r="B207" s="10"/>
      <c r="C207" s="10"/>
      <c r="D207" s="10"/>
      <c r="E207" s="10"/>
      <c r="F207" s="10"/>
      <c r="G207" s="10"/>
      <c r="H207" s="10"/>
      <c r="I207" s="11"/>
    </row>
    <row r="208">
      <c r="A208" s="12" t="s">
        <v>9</v>
      </c>
      <c r="B208" s="42" t="s">
        <v>145</v>
      </c>
      <c r="C208" s="42" t="s">
        <v>146</v>
      </c>
      <c r="D208" s="42" t="s">
        <v>147</v>
      </c>
      <c r="E208" s="42" t="s">
        <v>150</v>
      </c>
      <c r="F208" s="42" t="s">
        <v>151</v>
      </c>
      <c r="G208" s="42" t="s">
        <v>152</v>
      </c>
      <c r="H208" s="42" t="s">
        <v>249</v>
      </c>
      <c r="I208" s="43" t="s">
        <v>153</v>
      </c>
    </row>
    <row r="209">
      <c r="A209" s="55" t="str">
        <f t="array" ref="A209">INDEX('Aggregated - Bill of material'!$A$114:$A$137, MATCH(D209, 'Aggregated - Bill of material'!$B$114:$B$137, 0))</f>
        <v>O13</v>
      </c>
      <c r="B209" s="45" t="s">
        <v>111</v>
      </c>
      <c r="C209" s="45" t="s">
        <v>111</v>
      </c>
      <c r="D209" s="45" t="s">
        <v>460</v>
      </c>
      <c r="E209" s="62" t="s">
        <v>461</v>
      </c>
      <c r="F209" s="45" t="s">
        <v>462</v>
      </c>
      <c r="G209" s="45" t="s">
        <v>463</v>
      </c>
      <c r="H209" s="45" t="s">
        <v>464</v>
      </c>
      <c r="I209" s="46" t="s">
        <v>159</v>
      </c>
    </row>
    <row r="210">
      <c r="A210" s="55" t="str">
        <f t="array" ref="A210">INDEX('Aggregated - Bill of material'!$A$114:$A$137, MATCH(D210, 'Aggregated - Bill of material'!$B$114:$B$137, 0))</f>
        <v>O10</v>
      </c>
      <c r="B210" s="45" t="s">
        <v>111</v>
      </c>
      <c r="C210" s="45" t="s">
        <v>170</v>
      </c>
      <c r="D210" s="45" t="s">
        <v>465</v>
      </c>
      <c r="E210" s="45">
        <v>1.0</v>
      </c>
      <c r="F210" s="45" t="s">
        <v>466</v>
      </c>
      <c r="G210" s="45" t="s">
        <v>467</v>
      </c>
      <c r="I210" s="46" t="s">
        <v>159</v>
      </c>
    </row>
    <row r="211">
      <c r="A211" s="55" t="str">
        <f t="array" ref="A211">INDEX('Aggregated - Bill of material'!$A$114:$A$137, MATCH(D211, 'Aggregated - Bill of material'!$B$114:$B$137, 0))</f>
        <v>O11</v>
      </c>
      <c r="B211" s="45" t="s">
        <v>111</v>
      </c>
      <c r="C211" s="45" t="s">
        <v>111</v>
      </c>
      <c r="D211" s="45" t="s">
        <v>468</v>
      </c>
      <c r="E211" s="62" t="s">
        <v>469</v>
      </c>
      <c r="F211" s="45" t="s">
        <v>470</v>
      </c>
      <c r="G211" s="45" t="s">
        <v>471</v>
      </c>
      <c r="I211" s="46" t="s">
        <v>159</v>
      </c>
    </row>
    <row r="212">
      <c r="A212" s="55" t="str">
        <f t="array" ref="A212">INDEX('Aggregated - Bill of material'!$A$114:$A$137, MATCH(D212, 'Aggregated - Bill of material'!$B$114:$B$137, 0))</f>
        <v>O24</v>
      </c>
      <c r="B212" s="45" t="s">
        <v>111</v>
      </c>
      <c r="C212" s="45" t="s">
        <v>111</v>
      </c>
      <c r="D212" s="45" t="s">
        <v>472</v>
      </c>
      <c r="E212" s="45" t="s">
        <v>473</v>
      </c>
      <c r="F212" s="45" t="s">
        <v>474</v>
      </c>
      <c r="G212" s="45" t="s">
        <v>475</v>
      </c>
      <c r="I212" s="46" t="s">
        <v>159</v>
      </c>
    </row>
    <row r="213">
      <c r="A213" s="55" t="str">
        <f t="array" ref="A213">INDEX('Aggregated - Bill of material'!$A$114:$A$137, MATCH(D213, 'Aggregated - Bill of material'!$B$114:$B$137, 0))</f>
        <v>O23</v>
      </c>
      <c r="B213" s="45" t="s">
        <v>111</v>
      </c>
      <c r="C213" s="45" t="s">
        <v>111</v>
      </c>
      <c r="D213" s="45" t="s">
        <v>476</v>
      </c>
      <c r="E213" s="45">
        <v>1.0</v>
      </c>
      <c r="F213" s="45" t="s">
        <v>477</v>
      </c>
      <c r="I213" s="46" t="s">
        <v>159</v>
      </c>
    </row>
    <row r="214">
      <c r="A214" s="55" t="str">
        <f t="array" ref="A214">INDEX('Aggregated - Bill of material'!$A$114:$A$137, MATCH(D214, 'Aggregated - Bill of material'!$B$114:$B$137, 0))</f>
        <v>O06</v>
      </c>
      <c r="B214" s="45" t="s">
        <v>111</v>
      </c>
      <c r="C214" s="45" t="s">
        <v>175</v>
      </c>
      <c r="D214" s="45" t="s">
        <v>478</v>
      </c>
      <c r="E214" s="45">
        <v>8.0</v>
      </c>
      <c r="F214" s="45" t="s">
        <v>479</v>
      </c>
      <c r="G214" s="66" t="s">
        <v>480</v>
      </c>
      <c r="H214" s="45" t="s">
        <v>481</v>
      </c>
      <c r="I214" s="46" t="s">
        <v>159</v>
      </c>
    </row>
    <row r="215">
      <c r="A215" s="55" t="str">
        <f t="array" ref="A215">INDEX('Aggregated - Bill of material'!$A$114:$A$137, MATCH(D215, 'Aggregated - Bill of material'!$B$114:$B$137, 0))</f>
        <v>O04</v>
      </c>
      <c r="B215" s="45" t="s">
        <v>111</v>
      </c>
      <c r="C215" s="45" t="s">
        <v>175</v>
      </c>
      <c r="D215" s="45" t="s">
        <v>482</v>
      </c>
      <c r="E215" s="45">
        <v>4.0</v>
      </c>
      <c r="F215" s="45" t="s">
        <v>483</v>
      </c>
      <c r="G215" s="66" t="s">
        <v>480</v>
      </c>
      <c r="H215" s="66" t="s">
        <v>484</v>
      </c>
      <c r="I215" s="46" t="s">
        <v>159</v>
      </c>
    </row>
    <row r="216">
      <c r="A216" s="55" t="str">
        <f t="array" ref="A216">INDEX('Aggregated - Bill of material'!$A$114:$A$137, MATCH(D216, 'Aggregated - Bill of material'!$B$114:$B$137, 0))</f>
        <v>O07</v>
      </c>
      <c r="B216" s="45" t="s">
        <v>111</v>
      </c>
      <c r="C216" s="45" t="s">
        <v>175</v>
      </c>
      <c r="D216" s="45" t="s">
        <v>485</v>
      </c>
      <c r="E216" s="45">
        <v>4.0</v>
      </c>
      <c r="F216" s="45" t="s">
        <v>483</v>
      </c>
      <c r="G216" s="66" t="s">
        <v>480</v>
      </c>
      <c r="H216" s="66" t="s">
        <v>486</v>
      </c>
      <c r="I216" s="46" t="s">
        <v>159</v>
      </c>
    </row>
    <row r="217">
      <c r="A217" s="55" t="str">
        <f t="array" ref="A217">INDEX('Aggregated - Bill of material'!$A$114:$A$137, MATCH(D217, 'Aggregated - Bill of material'!$B$114:$B$137, 0))</f>
        <v>O05</v>
      </c>
      <c r="B217" s="45" t="s">
        <v>111</v>
      </c>
      <c r="C217" s="45" t="s">
        <v>175</v>
      </c>
      <c r="D217" s="45" t="s">
        <v>487</v>
      </c>
      <c r="E217" s="45">
        <v>3.0</v>
      </c>
      <c r="F217" s="45" t="s">
        <v>488</v>
      </c>
      <c r="G217" s="66" t="s">
        <v>480</v>
      </c>
      <c r="H217" s="66" t="s">
        <v>489</v>
      </c>
      <c r="I217" s="46" t="s">
        <v>159</v>
      </c>
    </row>
    <row r="218">
      <c r="A218" s="55" t="str">
        <f t="array" ref="A218">INDEX('Aggregated - Bill of material'!$A$114:$A$137, MATCH(D218, 'Aggregated - Bill of material'!$B$114:$B$137, 0))</f>
        <v>O09</v>
      </c>
      <c r="B218" s="45" t="s">
        <v>111</v>
      </c>
      <c r="C218" s="45" t="s">
        <v>111</v>
      </c>
      <c r="D218" s="45" t="s">
        <v>490</v>
      </c>
      <c r="E218" s="45">
        <v>1.0</v>
      </c>
      <c r="F218" s="45" t="s">
        <v>491</v>
      </c>
      <c r="H218" s="66" t="s">
        <v>492</v>
      </c>
      <c r="I218" s="46" t="s">
        <v>159</v>
      </c>
    </row>
    <row r="219">
      <c r="A219" s="55" t="str">
        <f t="array" ref="A219">INDEX('Aggregated - Bill of material'!$A$114:$A$137, MATCH(D219, 'Aggregated - Bill of material'!$B$114:$B$137, 0))</f>
        <v>O17</v>
      </c>
      <c r="B219" s="45" t="s">
        <v>111</v>
      </c>
      <c r="C219" s="45" t="s">
        <v>175</v>
      </c>
      <c r="D219" s="45" t="s">
        <v>493</v>
      </c>
      <c r="E219" s="45" t="s">
        <v>494</v>
      </c>
      <c r="F219" s="45" t="s">
        <v>495</v>
      </c>
      <c r="G219" s="66" t="s">
        <v>496</v>
      </c>
      <c r="H219" s="66" t="s">
        <v>497</v>
      </c>
      <c r="I219" s="46" t="s">
        <v>159</v>
      </c>
    </row>
    <row r="220">
      <c r="A220" s="55" t="str">
        <f t="array" ref="A220">INDEX('Aggregated - Bill of material'!$A$114:$A$137, MATCH(D220, 'Aggregated - Bill of material'!$B$114:$B$137, 0))</f>
        <v>O21</v>
      </c>
      <c r="B220" s="45" t="s">
        <v>111</v>
      </c>
      <c r="C220" s="45" t="s">
        <v>175</v>
      </c>
      <c r="D220" s="45" t="s">
        <v>498</v>
      </c>
      <c r="E220" s="45">
        <v>1.0</v>
      </c>
      <c r="F220" s="45" t="s">
        <v>499</v>
      </c>
      <c r="G220" s="66"/>
      <c r="H220" s="66"/>
      <c r="I220" s="46" t="s">
        <v>159</v>
      </c>
    </row>
    <row r="221">
      <c r="A221" s="55" t="str">
        <f t="array" ref="A221">INDEX('Aggregated - Bill of material'!$A$114:$A$137, MATCH(D221, 'Aggregated - Bill of material'!$B$114:$B$137, 0))</f>
        <v>O08</v>
      </c>
      <c r="B221" s="45" t="s">
        <v>111</v>
      </c>
      <c r="C221" s="45" t="s">
        <v>111</v>
      </c>
      <c r="D221" s="45" t="s">
        <v>500</v>
      </c>
      <c r="E221" s="45" t="s">
        <v>501</v>
      </c>
      <c r="F221" s="45" t="s">
        <v>502</v>
      </c>
      <c r="H221" s="66" t="s">
        <v>503</v>
      </c>
      <c r="I221" s="46" t="s">
        <v>159</v>
      </c>
    </row>
    <row r="222">
      <c r="A222" s="55" t="str">
        <f t="array" ref="A222">INDEX('Aggregated - Bill of material'!$A$114:$A$137, MATCH(D222, 'Aggregated - Bill of material'!$B$114:$B$137, 0))</f>
        <v>O22</v>
      </c>
      <c r="B222" s="45" t="s">
        <v>111</v>
      </c>
      <c r="C222" s="45" t="s">
        <v>175</v>
      </c>
      <c r="D222" s="66" t="s">
        <v>504</v>
      </c>
      <c r="E222" s="45">
        <v>2.0</v>
      </c>
      <c r="F222" s="45" t="s">
        <v>505</v>
      </c>
      <c r="G222" s="66" t="s">
        <v>506</v>
      </c>
      <c r="H222" s="66"/>
      <c r="I222" s="46" t="s">
        <v>159</v>
      </c>
    </row>
    <row r="223">
      <c r="A223" s="55" t="str">
        <f t="array" ref="A223">INDEX('Aggregated - Bill of material'!$A$114:$A$137, MATCH(D223, 'Aggregated - Bill of material'!$B$114:$B$137, 0))</f>
        <v>O21</v>
      </c>
      <c r="B223" s="45" t="s">
        <v>111</v>
      </c>
      <c r="C223" s="45" t="s">
        <v>175</v>
      </c>
      <c r="D223" s="45" t="s">
        <v>498</v>
      </c>
      <c r="E223" s="45">
        <v>1.0</v>
      </c>
      <c r="F223" s="45" t="s">
        <v>507</v>
      </c>
      <c r="G223" s="66"/>
      <c r="H223" s="66"/>
      <c r="I223" s="46" t="s">
        <v>159</v>
      </c>
    </row>
    <row r="224">
      <c r="A224" s="55" t="str">
        <f t="array" ref="A224">INDEX('Aggregated - Bill of material'!$A$114:$A$137, MATCH(D224, 'Aggregated - Bill of material'!$B$114:$B$137, 0))</f>
        <v>O22</v>
      </c>
      <c r="B224" s="45" t="s">
        <v>111</v>
      </c>
      <c r="C224" s="45" t="s">
        <v>175</v>
      </c>
      <c r="D224" s="66" t="s">
        <v>504</v>
      </c>
      <c r="E224" s="45">
        <v>2.0</v>
      </c>
      <c r="F224" s="45" t="s">
        <v>508</v>
      </c>
      <c r="G224" s="66" t="s">
        <v>506</v>
      </c>
      <c r="H224" s="66"/>
      <c r="I224" s="46" t="s">
        <v>159</v>
      </c>
    </row>
    <row r="225">
      <c r="A225" s="55" t="str">
        <f t="array" ref="A225">INDEX('Aggregated - Bill of material'!$A$114:$A$137, MATCH(D225, 'Aggregated - Bill of material'!$B$114:$B$137, 0))</f>
        <v>O18</v>
      </c>
      <c r="B225" s="45" t="s">
        <v>111</v>
      </c>
      <c r="C225" s="45" t="s">
        <v>201</v>
      </c>
      <c r="D225" s="45" t="s">
        <v>509</v>
      </c>
      <c r="E225" s="45">
        <v>1.0</v>
      </c>
      <c r="F225" s="45" t="s">
        <v>510</v>
      </c>
      <c r="G225" s="66" t="s">
        <v>511</v>
      </c>
      <c r="H225" s="66" t="s">
        <v>512</v>
      </c>
      <c r="I225" s="46" t="s">
        <v>159</v>
      </c>
    </row>
    <row r="226">
      <c r="A226" s="55" t="str">
        <f t="array" ref="A226">INDEX('Aggregated - Bill of material'!$A$114:$A$137, MATCH(D226, 'Aggregated - Bill of material'!$B$114:$B$137, 0))</f>
        <v>O01</v>
      </c>
      <c r="B226" s="45" t="s">
        <v>111</v>
      </c>
      <c r="C226" s="45" t="s">
        <v>201</v>
      </c>
      <c r="D226" s="45" t="s">
        <v>513</v>
      </c>
      <c r="E226" s="45">
        <v>6.0</v>
      </c>
      <c r="F226" s="45" t="s">
        <v>203</v>
      </c>
      <c r="G226" s="66" t="s">
        <v>514</v>
      </c>
      <c r="H226" s="66"/>
      <c r="I226" s="46" t="s">
        <v>159</v>
      </c>
    </row>
    <row r="227">
      <c r="A227" s="55" t="str">
        <f t="array" ref="A227">INDEX('Aggregated - Bill of material'!$A$114:$A$137, MATCH(D227, 'Aggregated - Bill of material'!$B$114:$B$137, 0))</f>
        <v>O01</v>
      </c>
      <c r="B227" s="45" t="s">
        <v>111</v>
      </c>
      <c r="C227" s="45" t="s">
        <v>201</v>
      </c>
      <c r="D227" s="45" t="s">
        <v>513</v>
      </c>
      <c r="E227" s="45">
        <v>6.0</v>
      </c>
      <c r="F227" s="45" t="s">
        <v>205</v>
      </c>
      <c r="G227" s="66" t="s">
        <v>514</v>
      </c>
      <c r="H227" s="66"/>
      <c r="I227" s="46" t="s">
        <v>159</v>
      </c>
    </row>
    <row r="228">
      <c r="A228" s="55" t="str">
        <f t="array" ref="A228">INDEX('Aggregated - Bill of material'!$A$114:$A$137, MATCH(D228, 'Aggregated - Bill of material'!$B$114:$B$137, 0))</f>
        <v>O18</v>
      </c>
      <c r="B228" s="45" t="s">
        <v>111</v>
      </c>
      <c r="C228" s="45" t="s">
        <v>201</v>
      </c>
      <c r="D228" s="45" t="s">
        <v>509</v>
      </c>
      <c r="E228" s="45">
        <v>1.0</v>
      </c>
      <c r="F228" s="45" t="s">
        <v>515</v>
      </c>
      <c r="G228" s="66" t="s">
        <v>511</v>
      </c>
      <c r="H228" s="66" t="s">
        <v>512</v>
      </c>
      <c r="I228" s="46" t="s">
        <v>159</v>
      </c>
    </row>
    <row r="229">
      <c r="A229" s="55" t="str">
        <f t="array" ref="A229">INDEX('Aggregated - Bill of material'!$A$114:$A$137, MATCH(D229, 'Aggregated - Bill of material'!$B$114:$B$137, 0))</f>
        <v>O21</v>
      </c>
      <c r="B229" s="45" t="s">
        <v>111</v>
      </c>
      <c r="C229" s="45" t="s">
        <v>201</v>
      </c>
      <c r="D229" s="45" t="s">
        <v>498</v>
      </c>
      <c r="E229" s="45">
        <v>1.0</v>
      </c>
      <c r="F229" s="45" t="s">
        <v>516</v>
      </c>
      <c r="H229" s="66"/>
      <c r="I229" s="46" t="s">
        <v>159</v>
      </c>
    </row>
    <row r="230">
      <c r="A230" s="55" t="str">
        <f t="array" ref="A230">INDEX('Aggregated - Bill of material'!$A$114:$A$137, MATCH(D230, 'Aggregated - Bill of material'!$B$114:$B$137, 0))</f>
        <v>O21</v>
      </c>
      <c r="B230" s="45" t="s">
        <v>111</v>
      </c>
      <c r="C230" s="45" t="s">
        <v>201</v>
      </c>
      <c r="D230" s="45" t="s">
        <v>498</v>
      </c>
      <c r="E230" s="45">
        <v>1.0</v>
      </c>
      <c r="F230" s="45" t="s">
        <v>517</v>
      </c>
      <c r="H230" s="66"/>
      <c r="I230" s="46" t="s">
        <v>159</v>
      </c>
    </row>
    <row r="231">
      <c r="A231" s="55" t="str">
        <f t="array" ref="A231">INDEX('Aggregated - Bill of material'!$A$114:$A$137, MATCH(D231, 'Aggregated - Bill of material'!$B$114:$B$137, 0))</f>
        <v>O09</v>
      </c>
      <c r="B231" s="45" t="s">
        <v>111</v>
      </c>
      <c r="C231" s="45" t="s">
        <v>111</v>
      </c>
      <c r="D231" s="45" t="s">
        <v>490</v>
      </c>
      <c r="E231" s="45">
        <v>1.0</v>
      </c>
      <c r="F231" s="45" t="s">
        <v>518</v>
      </c>
      <c r="H231" s="66" t="s">
        <v>492</v>
      </c>
      <c r="I231" s="46" t="s">
        <v>159</v>
      </c>
    </row>
    <row r="232">
      <c r="A232" s="55" t="str">
        <f t="array" ref="A232">INDEX('Aggregated - Bill of material'!$A$114:$A$137, MATCH(D232, 'Aggregated - Bill of material'!$B$114:$B$137, 0))</f>
        <v>O15</v>
      </c>
      <c r="B232" s="45" t="s">
        <v>111</v>
      </c>
      <c r="C232" s="45" t="s">
        <v>201</v>
      </c>
      <c r="D232" s="45" t="s">
        <v>519</v>
      </c>
      <c r="E232" s="45">
        <v>1.0</v>
      </c>
      <c r="F232" s="45" t="s">
        <v>520</v>
      </c>
      <c r="G232" s="66" t="s">
        <v>511</v>
      </c>
      <c r="H232" s="66" t="s">
        <v>521</v>
      </c>
      <c r="I232" s="46" t="s">
        <v>159</v>
      </c>
    </row>
    <row r="233">
      <c r="A233" s="55" t="str">
        <f t="array" ref="A233">INDEX('Aggregated - Bill of material'!$A$114:$A$137, MATCH(D233, 'Aggregated - Bill of material'!$B$114:$B$137, 0))</f>
        <v>O14</v>
      </c>
      <c r="B233" s="45" t="s">
        <v>111</v>
      </c>
      <c r="C233" s="45" t="s">
        <v>201</v>
      </c>
      <c r="D233" s="45" t="s">
        <v>522</v>
      </c>
      <c r="E233" s="45">
        <v>1.0</v>
      </c>
      <c r="F233" s="45" t="s">
        <v>520</v>
      </c>
      <c r="G233" s="66" t="s">
        <v>523</v>
      </c>
      <c r="H233" s="66" t="s">
        <v>524</v>
      </c>
      <c r="I233" s="46" t="s">
        <v>159</v>
      </c>
    </row>
    <row r="234">
      <c r="A234" s="55" t="str">
        <f t="array" ref="A234">INDEX('Aggregated - Bill of material'!$A$114:$A$137, MATCH(D234, 'Aggregated - Bill of material'!$B$114:$B$137, 0))</f>
        <v>O16</v>
      </c>
      <c r="B234" s="45" t="s">
        <v>111</v>
      </c>
      <c r="C234" s="45" t="s">
        <v>201</v>
      </c>
      <c r="D234" s="45" t="s">
        <v>525</v>
      </c>
      <c r="E234" s="45">
        <v>1.0</v>
      </c>
      <c r="F234" s="45" t="s">
        <v>520</v>
      </c>
      <c r="G234" s="66" t="s">
        <v>511</v>
      </c>
      <c r="H234" s="66" t="s">
        <v>521</v>
      </c>
      <c r="I234" s="46" t="s">
        <v>159</v>
      </c>
    </row>
    <row r="235">
      <c r="A235" s="55" t="str">
        <f t="array" ref="A235">INDEX('Aggregated - Bill of material'!$A$114:$A$137, MATCH(D235, 'Aggregated - Bill of material'!$B$114:$B$137, 0))</f>
        <v>O02</v>
      </c>
      <c r="B235" s="45" t="s">
        <v>111</v>
      </c>
      <c r="C235" s="45" t="s">
        <v>201</v>
      </c>
      <c r="D235" s="45" t="s">
        <v>526</v>
      </c>
      <c r="E235" s="45">
        <v>1.0</v>
      </c>
      <c r="F235" s="45" t="s">
        <v>520</v>
      </c>
      <c r="G235" s="66"/>
      <c r="H235" s="66" t="s">
        <v>527</v>
      </c>
      <c r="I235" s="46" t="s">
        <v>159</v>
      </c>
    </row>
    <row r="236">
      <c r="A236" s="55" t="str">
        <f t="array" ref="A236">INDEX('Aggregated - Bill of material'!$A$114:$A$137, MATCH(D236, 'Aggregated - Bill of material'!$B$114:$B$137, 0))</f>
        <v>O19</v>
      </c>
      <c r="B236" s="45" t="s">
        <v>111</v>
      </c>
      <c r="C236" s="45" t="s">
        <v>201</v>
      </c>
      <c r="D236" s="45" t="s">
        <v>528</v>
      </c>
      <c r="E236" s="45">
        <v>1.0</v>
      </c>
      <c r="F236" s="45" t="s">
        <v>529</v>
      </c>
      <c r="G236" s="66"/>
      <c r="H236" s="66" t="s">
        <v>530</v>
      </c>
      <c r="I236" s="46" t="s">
        <v>159</v>
      </c>
    </row>
    <row r="237">
      <c r="A237" s="55" t="str">
        <f t="array" ref="A237">INDEX('Aggregated - Bill of material'!$A$114:$A$137, MATCH(D237, 'Aggregated - Bill of material'!$B$114:$B$137, 0))</f>
        <v>O19</v>
      </c>
      <c r="B237" s="45" t="s">
        <v>111</v>
      </c>
      <c r="C237" s="45" t="s">
        <v>201</v>
      </c>
      <c r="D237" s="45" t="s">
        <v>528</v>
      </c>
      <c r="E237" s="45">
        <v>1.0</v>
      </c>
      <c r="F237" s="45" t="s">
        <v>531</v>
      </c>
      <c r="G237" s="66"/>
      <c r="H237" s="66" t="s">
        <v>530</v>
      </c>
      <c r="I237" s="46" t="s">
        <v>159</v>
      </c>
    </row>
    <row r="238">
      <c r="A238" s="55" t="str">
        <f t="array" ref="A238">INDEX('Aggregated - Bill of material'!$A$114:$A$137, MATCH(D238, 'Aggregated - Bill of material'!$B$114:$B$137, 0))</f>
        <v>O22</v>
      </c>
      <c r="B238" s="67" t="s">
        <v>111</v>
      </c>
      <c r="C238" s="47" t="s">
        <v>201</v>
      </c>
      <c r="D238" s="67" t="s">
        <v>504</v>
      </c>
      <c r="E238" s="68">
        <v>2.0</v>
      </c>
      <c r="F238" s="47" t="s">
        <v>532</v>
      </c>
      <c r="G238" s="67" t="s">
        <v>506</v>
      </c>
      <c r="H238" s="67"/>
      <c r="I238" s="69" t="s">
        <v>159</v>
      </c>
    </row>
    <row r="239">
      <c r="A239" s="55" t="str">
        <f t="array" ref="A239">INDEX('Aggregated - Bill of material'!$A$114:$A$137, MATCH(D239, 'Aggregated - Bill of material'!$B$114:$B$137, 0))</f>
        <v>O22</v>
      </c>
      <c r="B239" s="67" t="s">
        <v>111</v>
      </c>
      <c r="C239" s="47" t="s">
        <v>201</v>
      </c>
      <c r="D239" s="67" t="s">
        <v>504</v>
      </c>
      <c r="E239" s="68">
        <v>2.0</v>
      </c>
      <c r="F239" s="47" t="s">
        <v>533</v>
      </c>
      <c r="G239" s="67" t="s">
        <v>506</v>
      </c>
      <c r="H239" s="67"/>
      <c r="I239" s="69" t="s">
        <v>159</v>
      </c>
    </row>
    <row r="240">
      <c r="A240" s="55" t="str">
        <f t="array" ref="A240">INDEX('Aggregated - Bill of material'!$A$114:$A$137, MATCH(D240, 'Aggregated - Bill of material'!$B$114:$B$137, 0))</f>
        <v>O18</v>
      </c>
      <c r="B240" s="45" t="s">
        <v>111</v>
      </c>
      <c r="C240" s="45" t="s">
        <v>201</v>
      </c>
      <c r="D240" s="45" t="s">
        <v>509</v>
      </c>
      <c r="E240" s="45">
        <v>1.0</v>
      </c>
      <c r="F240" s="45" t="s">
        <v>534</v>
      </c>
      <c r="G240" s="66" t="s">
        <v>511</v>
      </c>
      <c r="H240" s="66" t="s">
        <v>512</v>
      </c>
      <c r="I240" s="46" t="s">
        <v>159</v>
      </c>
    </row>
    <row r="241">
      <c r="A241" s="55" t="str">
        <f t="array" ref="A241">INDEX('Aggregated - Bill of material'!$A$114:$A$137, MATCH(D241, 'Aggregated - Bill of material'!$B$114:$B$137, 0))</f>
        <v>O01</v>
      </c>
      <c r="B241" s="45" t="s">
        <v>111</v>
      </c>
      <c r="C241" s="45" t="s">
        <v>201</v>
      </c>
      <c r="D241" s="45" t="s">
        <v>513</v>
      </c>
      <c r="E241" s="45">
        <v>6.0</v>
      </c>
      <c r="F241" s="45" t="s">
        <v>230</v>
      </c>
      <c r="G241" s="66" t="s">
        <v>514</v>
      </c>
      <c r="H241" s="66"/>
      <c r="I241" s="46" t="s">
        <v>159</v>
      </c>
    </row>
    <row r="242">
      <c r="A242" s="55" t="str">
        <f t="array" ref="A242">INDEX('Aggregated - Bill of material'!$A$114:$A$137, MATCH(D242, 'Aggregated - Bill of material'!$B$114:$B$137, 0))</f>
        <v>O03</v>
      </c>
      <c r="B242" s="45" t="s">
        <v>111</v>
      </c>
      <c r="C242" s="45" t="s">
        <v>201</v>
      </c>
      <c r="D242" s="45" t="s">
        <v>535</v>
      </c>
      <c r="E242" s="45">
        <v>1.0</v>
      </c>
      <c r="F242" s="45" t="s">
        <v>520</v>
      </c>
      <c r="G242" s="66"/>
      <c r="H242" s="66" t="s">
        <v>527</v>
      </c>
      <c r="I242" s="46" t="s">
        <v>159</v>
      </c>
    </row>
    <row r="243">
      <c r="A243" s="55" t="str">
        <f t="array" ref="A243">INDEX('Aggregated - Bill of material'!$A$114:$A$137, MATCH(D243, 'Aggregated - Bill of material'!$B$114:$B$137, 0))</f>
        <v>O20</v>
      </c>
      <c r="B243" s="45" t="s">
        <v>111</v>
      </c>
      <c r="C243" s="45" t="s">
        <v>201</v>
      </c>
      <c r="D243" s="45" t="s">
        <v>536</v>
      </c>
      <c r="E243" s="45">
        <v>1.0</v>
      </c>
      <c r="F243" s="45" t="s">
        <v>537</v>
      </c>
      <c r="H243" s="66"/>
      <c r="I243" s="46" t="s">
        <v>159</v>
      </c>
    </row>
    <row r="244">
      <c r="A244" s="55" t="str">
        <f t="array" ref="A244">INDEX('Aggregated - Bill of material'!$A$114:$A$137, MATCH(D244, 'Aggregated - Bill of material'!$B$114:$B$137, 0))</f>
        <v>O20</v>
      </c>
      <c r="B244" s="45" t="s">
        <v>111</v>
      </c>
      <c r="C244" s="45" t="s">
        <v>201</v>
      </c>
      <c r="D244" s="45" t="s">
        <v>536</v>
      </c>
      <c r="E244" s="45">
        <v>1.0</v>
      </c>
      <c r="F244" s="45" t="s">
        <v>538</v>
      </c>
      <c r="H244" s="66"/>
      <c r="I244" s="46" t="s">
        <v>159</v>
      </c>
    </row>
    <row r="245">
      <c r="A245" s="55" t="str">
        <f t="array" ref="A245">INDEX('Aggregated - Bill of material'!$A$114:$A$137, MATCH(D245, 'Aggregated - Bill of material'!$B$114:$B$137, 0))</f>
        <v>O22</v>
      </c>
      <c r="B245" s="67" t="s">
        <v>111</v>
      </c>
      <c r="C245" s="47" t="s">
        <v>201</v>
      </c>
      <c r="D245" s="67" t="s">
        <v>504</v>
      </c>
      <c r="E245" s="68">
        <v>2.0</v>
      </c>
      <c r="F245" s="47" t="s">
        <v>539</v>
      </c>
      <c r="G245" s="67" t="s">
        <v>506</v>
      </c>
      <c r="H245" s="67"/>
      <c r="I245" s="69" t="s">
        <v>159</v>
      </c>
    </row>
    <row r="246">
      <c r="A246" s="55" t="str">
        <f t="array" ref="A246">INDEX('Aggregated - Bill of material'!$A$114:$A$137, MATCH(D246, 'Aggregated - Bill of material'!$B$114:$B$137, 0))</f>
        <v>O22</v>
      </c>
      <c r="B246" s="67" t="s">
        <v>111</v>
      </c>
      <c r="C246" s="47" t="s">
        <v>201</v>
      </c>
      <c r="D246" s="67" t="s">
        <v>504</v>
      </c>
      <c r="E246" s="68">
        <v>2.0</v>
      </c>
      <c r="F246" s="47" t="s">
        <v>540</v>
      </c>
      <c r="G246" s="67" t="s">
        <v>506</v>
      </c>
      <c r="H246" s="67"/>
      <c r="I246" s="69" t="s">
        <v>159</v>
      </c>
    </row>
    <row r="247">
      <c r="A247" s="55" t="str">
        <f t="array" ref="A247">INDEX('Aggregated - Bill of material'!$A$114:$A$137, MATCH(D247, 'Aggregated - Bill of material'!$B$114:$B$137, 0))</f>
        <v>O12</v>
      </c>
      <c r="B247" s="45" t="s">
        <v>111</v>
      </c>
      <c r="C247" s="45" t="s">
        <v>201</v>
      </c>
      <c r="D247" s="39" t="s">
        <v>541</v>
      </c>
      <c r="E247" s="39" t="s">
        <v>473</v>
      </c>
      <c r="F247" s="39" t="s">
        <v>542</v>
      </c>
      <c r="G247" s="66" t="s">
        <v>543</v>
      </c>
      <c r="H247" s="66"/>
      <c r="I247" s="40" t="s">
        <v>159</v>
      </c>
    </row>
    <row r="248">
      <c r="A248" s="70" t="s">
        <v>136</v>
      </c>
      <c r="B248" s="45" t="s">
        <v>111</v>
      </c>
      <c r="C248" s="45" t="s">
        <v>170</v>
      </c>
      <c r="D248" s="39" t="s">
        <v>137</v>
      </c>
      <c r="E248" s="39">
        <v>1.0</v>
      </c>
      <c r="F248" s="39" t="s">
        <v>544</v>
      </c>
      <c r="G248" s="66" t="s">
        <v>545</v>
      </c>
      <c r="H248" s="66"/>
      <c r="I248" s="40" t="s">
        <v>159</v>
      </c>
    </row>
    <row r="249">
      <c r="A249" s="71" t="s">
        <v>138</v>
      </c>
      <c r="B249" s="49" t="s">
        <v>111</v>
      </c>
      <c r="C249" s="49" t="s">
        <v>175</v>
      </c>
      <c r="D249" s="72" t="s">
        <v>139</v>
      </c>
      <c r="E249" s="31">
        <v>1.0</v>
      </c>
      <c r="F249" s="31" t="s">
        <v>546</v>
      </c>
      <c r="G249" s="72"/>
      <c r="H249" s="72"/>
      <c r="I249" s="32" t="s">
        <v>159</v>
      </c>
    </row>
    <row r="250">
      <c r="A250" s="51"/>
      <c r="B250" s="51"/>
      <c r="C250" s="51"/>
      <c r="D250" s="45"/>
      <c r="E250" s="45"/>
      <c r="F250" s="45"/>
      <c r="G250" s="66"/>
      <c r="H250" s="66"/>
      <c r="I250" s="45"/>
    </row>
    <row r="251">
      <c r="A251" s="9" t="s">
        <v>140</v>
      </c>
      <c r="B251" s="10"/>
      <c r="C251" s="10"/>
      <c r="D251" s="10"/>
      <c r="E251" s="10"/>
      <c r="F251" s="10"/>
      <c r="G251" s="10"/>
      <c r="H251" s="10"/>
      <c r="I251" s="10"/>
      <c r="J251" s="11"/>
    </row>
    <row r="252">
      <c r="A252" s="12" t="s">
        <v>9</v>
      </c>
      <c r="B252" s="42" t="s">
        <v>145</v>
      </c>
      <c r="C252" s="42" t="s">
        <v>146</v>
      </c>
      <c r="D252" s="42" t="s">
        <v>147</v>
      </c>
      <c r="E252" s="42" t="s">
        <v>148</v>
      </c>
      <c r="F252" s="42" t="s">
        <v>149</v>
      </c>
      <c r="G252" s="42" t="s">
        <v>150</v>
      </c>
      <c r="H252" s="42" t="s">
        <v>151</v>
      </c>
      <c r="I252" s="42" t="s">
        <v>152</v>
      </c>
      <c r="J252" s="43" t="s">
        <v>153</v>
      </c>
    </row>
    <row r="253">
      <c r="A253" s="73" t="str">
        <f t="array" ref="A253">INDEX('Aggregated - Bill of material'!$A$143:$A$145, MATCH(1,(E253='Aggregated - Bill of material'!$B$143:$B$145)*(F253='Aggregated - Bill of material'!$C$143:$C$145),0))</f>
        <v>T03</v>
      </c>
      <c r="B253" s="45" t="s">
        <v>111</v>
      </c>
      <c r="C253" s="45" t="s">
        <v>175</v>
      </c>
      <c r="D253" s="45" t="s">
        <v>547</v>
      </c>
      <c r="E253" s="45" t="s">
        <v>183</v>
      </c>
      <c r="F253" s="45" t="s">
        <v>548</v>
      </c>
      <c r="G253" s="45">
        <v>4.0</v>
      </c>
      <c r="H253" s="45" t="s">
        <v>256</v>
      </c>
      <c r="J253" s="46" t="s">
        <v>159</v>
      </c>
    </row>
    <row r="254">
      <c r="A254" s="73" t="str">
        <f t="array" ref="A254">INDEX('Aggregated - Bill of material'!$A$143:$A$145, MATCH(1,(E254='Aggregated - Bill of material'!$B$143:$B$145)*(F254='Aggregated - Bill of material'!$C$143:$C$145),0))</f>
        <v>T02</v>
      </c>
      <c r="B254" s="45" t="s">
        <v>111</v>
      </c>
      <c r="C254" s="45" t="s">
        <v>175</v>
      </c>
      <c r="D254" s="45" t="s">
        <v>547</v>
      </c>
      <c r="E254" s="45" t="s">
        <v>183</v>
      </c>
      <c r="F254" s="45" t="s">
        <v>549</v>
      </c>
      <c r="G254" s="45">
        <v>8.0</v>
      </c>
      <c r="H254" s="45" t="s">
        <v>550</v>
      </c>
      <c r="J254" s="46" t="s">
        <v>159</v>
      </c>
    </row>
    <row r="255">
      <c r="A255" s="73" t="str">
        <f t="array" ref="A255">INDEX('Aggregated - Bill of material'!$A$143:$A$145, MATCH(1,(E255='Aggregated - Bill of material'!$B$143:$B$145)*(F255='Aggregated - Bill of material'!$C$143:$C$145),0))</f>
        <v>T01</v>
      </c>
      <c r="B255" s="45" t="s">
        <v>111</v>
      </c>
      <c r="C255" s="45" t="s">
        <v>201</v>
      </c>
      <c r="D255" s="45" t="s">
        <v>547</v>
      </c>
      <c r="E255" s="45" t="s">
        <v>180</v>
      </c>
      <c r="F255" s="45" t="s">
        <v>551</v>
      </c>
      <c r="G255" s="45">
        <v>1.0</v>
      </c>
      <c r="H255" s="45" t="s">
        <v>552</v>
      </c>
      <c r="I255" s="45" t="s">
        <v>553</v>
      </c>
      <c r="J255" s="46" t="s">
        <v>159</v>
      </c>
    </row>
    <row r="256">
      <c r="A256" s="74" t="str">
        <f t="array" ref="A256">INDEX('Aggregated - Bill of material'!$A$143:$A$145, MATCH(1,(E256='Aggregated - Bill of material'!$B$143:$B$145)*(F256='Aggregated - Bill of material'!$C$143:$C$145),0))</f>
        <v>T01</v>
      </c>
      <c r="B256" s="49" t="s">
        <v>111</v>
      </c>
      <c r="C256" s="49" t="s">
        <v>201</v>
      </c>
      <c r="D256" s="49" t="s">
        <v>547</v>
      </c>
      <c r="E256" s="49" t="s">
        <v>180</v>
      </c>
      <c r="F256" s="49" t="s">
        <v>551</v>
      </c>
      <c r="G256" s="49">
        <v>1.0</v>
      </c>
      <c r="H256" s="49" t="s">
        <v>554</v>
      </c>
      <c r="I256" s="49" t="s">
        <v>553</v>
      </c>
      <c r="J256" s="50" t="s">
        <v>159</v>
      </c>
    </row>
    <row r="258">
      <c r="A258" s="51"/>
    </row>
    <row r="259">
      <c r="A259" s="59"/>
    </row>
    <row r="261">
      <c r="A261" s="51"/>
    </row>
    <row r="262">
      <c r="A262" s="59"/>
    </row>
  </sheetData>
  <mergeCells count="8">
    <mergeCell ref="A1:G1"/>
    <mergeCell ref="A3:J3"/>
    <mergeCell ref="A68:I68"/>
    <mergeCell ref="A92:K92"/>
    <mergeCell ref="A114:I114"/>
    <mergeCell ref="A158:I158"/>
    <mergeCell ref="A207:I207"/>
    <mergeCell ref="A251:J251"/>
  </mergeCells>
  <dataValidations>
    <dataValidation type="list" allowBlank="1" sqref="C5:C66 C70:C90 C94:C112 C116:C156 C160:C205 C209:C249 C253:C256">
      <formula1>'Support tables'!$A$2:$A$20</formula1>
    </dataValidation>
    <dataValidation type="list" allowBlank="1" sqref="B5:B66 B70:B90 B94:B112 B116:B156 B160:B205 B209:B249 B253:B256">
      <formula1>'Support tables'!$B$2:$B$5</formula1>
    </dataValidation>
    <dataValidation type="list" allowBlank="1" sqref="E5:E13 E15:E66 E70:E90 E253:E256">
      <formula1>'Support tables'!$D$2:$D$10</formula1>
    </dataValidation>
    <dataValidation type="list" allowBlank="1" sqref="D5:D66 D70:D90 D94:D112">
      <formula1>'Support tables'!$C$2:$C$35</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8.29"/>
  </cols>
  <sheetData>
    <row r="1">
      <c r="A1" s="75" t="s">
        <v>146</v>
      </c>
      <c r="B1" s="75" t="s">
        <v>555</v>
      </c>
      <c r="C1" s="75" t="s">
        <v>556</v>
      </c>
      <c r="D1" s="75" t="s">
        <v>557</v>
      </c>
    </row>
    <row r="2">
      <c r="A2" s="76" t="s">
        <v>155</v>
      </c>
      <c r="B2" s="76" t="s">
        <v>154</v>
      </c>
      <c r="C2" s="76" t="s">
        <v>8</v>
      </c>
      <c r="D2" s="76" t="s">
        <v>558</v>
      </c>
    </row>
    <row r="3">
      <c r="A3" s="76" t="s">
        <v>170</v>
      </c>
      <c r="B3" s="76" t="s">
        <v>38</v>
      </c>
      <c r="C3" s="76" t="s">
        <v>26</v>
      </c>
      <c r="D3" s="76" t="s">
        <v>162</v>
      </c>
    </row>
    <row r="4">
      <c r="A4" s="76" t="s">
        <v>175</v>
      </c>
      <c r="B4" s="76" t="s">
        <v>376</v>
      </c>
      <c r="C4" s="76" t="s">
        <v>30</v>
      </c>
      <c r="D4" s="76" t="s">
        <v>156</v>
      </c>
    </row>
    <row r="5">
      <c r="A5" s="76" t="s">
        <v>201</v>
      </c>
      <c r="B5" s="76" t="s">
        <v>111</v>
      </c>
      <c r="C5" s="77"/>
      <c r="D5" s="76" t="s">
        <v>180</v>
      </c>
    </row>
    <row r="6">
      <c r="A6" s="76" t="s">
        <v>111</v>
      </c>
      <c r="B6" s="77"/>
      <c r="C6" s="77"/>
      <c r="D6" s="76" t="s">
        <v>559</v>
      </c>
    </row>
    <row r="7">
      <c r="A7" s="77"/>
      <c r="B7" s="77"/>
      <c r="C7" s="77"/>
      <c r="D7" s="76" t="s">
        <v>560</v>
      </c>
    </row>
    <row r="8">
      <c r="A8" s="77"/>
      <c r="B8" s="77"/>
      <c r="C8" s="77"/>
      <c r="D8" s="76" t="s">
        <v>183</v>
      </c>
    </row>
    <row r="9">
      <c r="A9" s="77"/>
      <c r="B9" s="77"/>
      <c r="C9" s="77"/>
      <c r="D9" s="76" t="s">
        <v>561</v>
      </c>
    </row>
    <row r="10">
      <c r="A10" s="78"/>
      <c r="B10" s="78"/>
      <c r="C10" s="78"/>
      <c r="D10" s="79" t="s">
        <v>562</v>
      </c>
    </row>
  </sheetData>
  <drawing r:id="rId1"/>
</worksheet>
</file>